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 FINANCIAL\Accounting\2018\GASB 68\"/>
    </mc:Choice>
  </mc:AlternateContent>
  <workbookProtection workbookAlgorithmName="SHA-512" workbookHashValue="/IIrFjPmGwVpifXeQhC9p9IN+J+K8ncA7yHGENa2erNix35n3LhvlFNU/kHmO8HGYAKtdIKuJb2beGz70WUOcw==" workbookSaltValue="gZVzbZsvWlRaEUMks8g54Q==" workbookSpinCount="100000" lockStructure="1"/>
  <bookViews>
    <workbookView xWindow="0" yWindow="0" windowWidth="21300" windowHeight="10125"/>
  </bookViews>
  <sheets>
    <sheet name="calculator" sheetId="1" r:id="rId1"/>
    <sheet name="Amort" sheetId="6" r:id="rId2"/>
    <sheet name="MFPRSI Supplemental Info 2017" sheetId="8" r:id="rId3"/>
    <sheet name="MFPRSI Supplemental Info 2016" sheetId="7" r:id="rId4"/>
    <sheet name="MFPRSI Supplemental Info 2015" sheetId="4" r:id="rId5"/>
    <sheet name="MFPRSI Supplemental Info 2014" sheetId="5" r:id="rId6"/>
  </sheets>
  <definedNames>
    <definedName name="_xlnm.Print_Area" localSheetId="5">'MFPRSI Supplemental Info 2014'!$A$1:$Y$59</definedName>
    <definedName name="_xlnm.Print_Area" localSheetId="4">'MFPRSI Supplemental Info 2015'!$A$1:$Y$59</definedName>
    <definedName name="_xlnm.Print_Area" localSheetId="3">'MFPRSI Supplemental Info 2016'!$A$1:$Y$59</definedName>
    <definedName name="_xlnm.Print_Area" localSheetId="2">'MFPRSI Supplemental Info 2017'!$A$1:$Y$59</definedName>
    <definedName name="_xlnm.Print_Titles" localSheetId="5">'MFPRSI Supplemental Info 2014'!$A:$B,'MFPRSI Supplemental Info 2014'!$1:$6</definedName>
    <definedName name="_xlnm.Print_Titles" localSheetId="4">'MFPRSI Supplemental Info 2015'!$A:$B,'MFPRSI Supplemental Info 2015'!$1:$6</definedName>
    <definedName name="_xlnm.Print_Titles" localSheetId="3">'MFPRSI Supplemental Info 2016'!$A:$B,'MFPRSI Supplemental Info 2016'!$1:$6</definedName>
    <definedName name="_xlnm.Print_Titles" localSheetId="2">'MFPRSI Supplemental Info 2017'!$A:$B,'MFPRSI Supplemental Info 2017'!$1:$6</definedName>
  </definedNames>
  <calcPr calcId="171027"/>
</workbook>
</file>

<file path=xl/calcChain.xml><?xml version="1.0" encoding="utf-8"?>
<calcChain xmlns="http://schemas.openxmlformats.org/spreadsheetml/2006/main">
  <c r="T57" i="8" l="1"/>
  <c r="S57" i="8"/>
  <c r="Y57" i="8"/>
  <c r="W57" i="8"/>
  <c r="I98" i="1"/>
  <c r="M41" i="1"/>
  <c r="K23" i="6" l="1"/>
  <c r="K24" i="6"/>
  <c r="O24" i="6" l="1"/>
  <c r="N24" i="6"/>
  <c r="M24" i="6"/>
  <c r="L24" i="6"/>
  <c r="G25" i="6"/>
  <c r="G24" i="6"/>
  <c r="G15" i="6"/>
  <c r="G14" i="6"/>
  <c r="O14" i="6" s="1"/>
  <c r="O12" i="1"/>
  <c r="M12" i="1"/>
  <c r="M54" i="1"/>
  <c r="M49" i="1"/>
  <c r="M47" i="1"/>
  <c r="M46" i="1"/>
  <c r="M45" i="1"/>
  <c r="M43" i="1"/>
  <c r="M42" i="1"/>
  <c r="G16" i="1"/>
  <c r="K14" i="1"/>
  <c r="K69" i="1" s="1"/>
  <c r="G14" i="1"/>
  <c r="D8" i="1"/>
  <c r="F55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E51" i="1"/>
  <c r="U57" i="8"/>
  <c r="Q57" i="8"/>
  <c r="P57" i="8"/>
  <c r="O57" i="8"/>
  <c r="D57" i="8"/>
  <c r="H55" i="8"/>
  <c r="H54" i="8"/>
  <c r="I54" i="8" s="1"/>
  <c r="J54" i="8" s="1"/>
  <c r="H53" i="8"/>
  <c r="H52" i="8"/>
  <c r="I52" i="8" s="1"/>
  <c r="J52" i="8" s="1"/>
  <c r="H51" i="8"/>
  <c r="H50" i="8"/>
  <c r="I50" i="8" s="1"/>
  <c r="J50" i="8" s="1"/>
  <c r="H49" i="8"/>
  <c r="H48" i="8"/>
  <c r="I48" i="8" s="1"/>
  <c r="J48" i="8" s="1"/>
  <c r="H47" i="8"/>
  <c r="H46" i="8"/>
  <c r="I46" i="8" s="1"/>
  <c r="J46" i="8" s="1"/>
  <c r="H45" i="8"/>
  <c r="H44" i="8"/>
  <c r="I44" i="8" s="1"/>
  <c r="J44" i="8" s="1"/>
  <c r="H43" i="8"/>
  <c r="H42" i="8"/>
  <c r="I42" i="8" s="1"/>
  <c r="J42" i="8" s="1"/>
  <c r="H41" i="8"/>
  <c r="H40" i="8"/>
  <c r="I40" i="8" s="1"/>
  <c r="J40" i="8" s="1"/>
  <c r="H39" i="8"/>
  <c r="H38" i="8"/>
  <c r="I38" i="8" s="1"/>
  <c r="J38" i="8" s="1"/>
  <c r="H37" i="8"/>
  <c r="H36" i="8"/>
  <c r="I36" i="8" s="1"/>
  <c r="J36" i="8" s="1"/>
  <c r="H35" i="8"/>
  <c r="H34" i="8"/>
  <c r="I34" i="8" s="1"/>
  <c r="J34" i="8" s="1"/>
  <c r="H33" i="8"/>
  <c r="H32" i="8"/>
  <c r="I32" i="8" s="1"/>
  <c r="J32" i="8" s="1"/>
  <c r="H31" i="8"/>
  <c r="I31" i="8" s="1"/>
  <c r="H30" i="8"/>
  <c r="H29" i="8"/>
  <c r="I29" i="8" s="1"/>
  <c r="H28" i="8"/>
  <c r="H27" i="8"/>
  <c r="I27" i="8" s="1"/>
  <c r="H26" i="8"/>
  <c r="H25" i="8"/>
  <c r="I25" i="8" s="1"/>
  <c r="H24" i="8"/>
  <c r="H23" i="8"/>
  <c r="I23" i="8" s="1"/>
  <c r="H22" i="8"/>
  <c r="H21" i="8"/>
  <c r="I21" i="8" s="1"/>
  <c r="H20" i="8"/>
  <c r="H19" i="8"/>
  <c r="I19" i="8" s="1"/>
  <c r="H18" i="8"/>
  <c r="H17" i="8"/>
  <c r="I17" i="8" s="1"/>
  <c r="H16" i="8"/>
  <c r="H15" i="8"/>
  <c r="I15" i="8" s="1"/>
  <c r="H14" i="8"/>
  <c r="H13" i="8"/>
  <c r="I13" i="8" s="1"/>
  <c r="J13" i="8" s="1"/>
  <c r="H12" i="8"/>
  <c r="H11" i="8"/>
  <c r="I11" i="8" s="1"/>
  <c r="H10" i="8"/>
  <c r="H9" i="8"/>
  <c r="I9" i="8" s="1"/>
  <c r="J9" i="8" s="1"/>
  <c r="H8" i="8"/>
  <c r="H7" i="8"/>
  <c r="I7" i="8" s="1"/>
  <c r="E57" i="8"/>
  <c r="F38" i="8" s="1"/>
  <c r="G38" i="8" s="1"/>
  <c r="P24" i="6" l="1"/>
  <c r="O14" i="1"/>
  <c r="M14" i="1"/>
  <c r="J11" i="8"/>
  <c r="M31" i="1"/>
  <c r="M16" i="1"/>
  <c r="O16" i="1"/>
  <c r="L14" i="6"/>
  <c r="M14" i="6"/>
  <c r="N14" i="6"/>
  <c r="K14" i="6"/>
  <c r="K38" i="8"/>
  <c r="L38" i="8" s="1"/>
  <c r="J24" i="8"/>
  <c r="F15" i="8"/>
  <c r="G15" i="8" s="1"/>
  <c r="F16" i="8"/>
  <c r="G16" i="8" s="1"/>
  <c r="F17" i="8"/>
  <c r="G17" i="8" s="1"/>
  <c r="F20" i="8"/>
  <c r="G20" i="8" s="1"/>
  <c r="F21" i="8"/>
  <c r="G21" i="8" s="1"/>
  <c r="F25" i="8"/>
  <c r="G25" i="8" s="1"/>
  <c r="F26" i="8"/>
  <c r="G26" i="8" s="1"/>
  <c r="F28" i="8"/>
  <c r="G28" i="8" s="1"/>
  <c r="F29" i="8"/>
  <c r="G29" i="8" s="1"/>
  <c r="F31" i="8"/>
  <c r="G31" i="8" s="1"/>
  <c r="F7" i="8"/>
  <c r="F9" i="8"/>
  <c r="G9" i="8" s="1"/>
  <c r="F11" i="8"/>
  <c r="I8" i="8"/>
  <c r="I10" i="8"/>
  <c r="J10" i="8" s="1"/>
  <c r="I12" i="8"/>
  <c r="J12" i="8" s="1"/>
  <c r="I14" i="8"/>
  <c r="J14" i="8" s="1"/>
  <c r="I16" i="8"/>
  <c r="J16" i="8" s="1"/>
  <c r="I18" i="8"/>
  <c r="J18" i="8" s="1"/>
  <c r="I20" i="8"/>
  <c r="J20" i="8" s="1"/>
  <c r="I22" i="8"/>
  <c r="J22" i="8" s="1"/>
  <c r="I24" i="8"/>
  <c r="I26" i="8"/>
  <c r="J26" i="8" s="1"/>
  <c r="I28" i="8"/>
  <c r="J28" i="8" s="1"/>
  <c r="I30" i="8"/>
  <c r="J30" i="8" s="1"/>
  <c r="F36" i="8"/>
  <c r="G36" i="8" s="1"/>
  <c r="I37" i="8"/>
  <c r="J37" i="8" s="1"/>
  <c r="C57" i="8"/>
  <c r="H57" i="8"/>
  <c r="M26" i="1" s="1"/>
  <c r="M29" i="1" s="1"/>
  <c r="F8" i="8"/>
  <c r="G8" i="8" s="1"/>
  <c r="F10" i="8"/>
  <c r="G10" i="8" s="1"/>
  <c r="F12" i="8"/>
  <c r="G12" i="8" s="1"/>
  <c r="F14" i="8"/>
  <c r="G14" i="8" s="1"/>
  <c r="J15" i="8"/>
  <c r="J17" i="8"/>
  <c r="J19" i="8"/>
  <c r="J21" i="8"/>
  <c r="J23" i="8"/>
  <c r="J25" i="8"/>
  <c r="J27" i="8"/>
  <c r="J29" i="8"/>
  <c r="J31" i="8"/>
  <c r="G55" i="8"/>
  <c r="F53" i="8"/>
  <c r="G53" i="8" s="1"/>
  <c r="F51" i="8"/>
  <c r="G51" i="8" s="1"/>
  <c r="F49" i="8"/>
  <c r="G49" i="8" s="1"/>
  <c r="F47" i="8"/>
  <c r="G47" i="8" s="1"/>
  <c r="F45" i="8"/>
  <c r="G45" i="8" s="1"/>
  <c r="F43" i="8"/>
  <c r="G43" i="8" s="1"/>
  <c r="F41" i="8"/>
  <c r="G41" i="8" s="1"/>
  <c r="F39" i="8"/>
  <c r="G39" i="8" s="1"/>
  <c r="F37" i="8"/>
  <c r="G37" i="8" s="1"/>
  <c r="F35" i="8"/>
  <c r="G35" i="8" s="1"/>
  <c r="F33" i="8"/>
  <c r="G33" i="8" s="1"/>
  <c r="F54" i="8"/>
  <c r="G54" i="8" s="1"/>
  <c r="F52" i="8"/>
  <c r="G52" i="8" s="1"/>
  <c r="F50" i="8"/>
  <c r="G50" i="8" s="1"/>
  <c r="F48" i="8"/>
  <c r="G48" i="8" s="1"/>
  <c r="F46" i="8"/>
  <c r="G46" i="8" s="1"/>
  <c r="F44" i="8"/>
  <c r="G44" i="8" s="1"/>
  <c r="F42" i="8"/>
  <c r="G42" i="8" s="1"/>
  <c r="F40" i="8"/>
  <c r="G40" i="8" s="1"/>
  <c r="F24" i="8"/>
  <c r="G24" i="8" s="1"/>
  <c r="F30" i="8"/>
  <c r="G30" i="8" s="1"/>
  <c r="I33" i="8"/>
  <c r="J33" i="8" s="1"/>
  <c r="F18" i="8"/>
  <c r="G18" i="8" s="1"/>
  <c r="F19" i="8"/>
  <c r="G19" i="8" s="1"/>
  <c r="F22" i="8"/>
  <c r="G22" i="8" s="1"/>
  <c r="F23" i="8"/>
  <c r="G23" i="8" s="1"/>
  <c r="F27" i="8"/>
  <c r="G27" i="8" s="1"/>
  <c r="F32" i="8"/>
  <c r="G32" i="8" s="1"/>
  <c r="J7" i="8"/>
  <c r="F13" i="8"/>
  <c r="G13" i="8" s="1"/>
  <c r="F34" i="8"/>
  <c r="G34" i="8" s="1"/>
  <c r="I35" i="8"/>
  <c r="J35" i="8" s="1"/>
  <c r="J49" i="8"/>
  <c r="I39" i="8"/>
  <c r="J39" i="8" s="1"/>
  <c r="I41" i="8"/>
  <c r="J41" i="8" s="1"/>
  <c r="I43" i="8"/>
  <c r="J43" i="8" s="1"/>
  <c r="I45" i="8"/>
  <c r="J45" i="8" s="1"/>
  <c r="I47" i="8"/>
  <c r="J47" i="8" s="1"/>
  <c r="I49" i="8"/>
  <c r="I51" i="8"/>
  <c r="J51" i="8" s="1"/>
  <c r="I53" i="8"/>
  <c r="J53" i="8" s="1"/>
  <c r="I55" i="8"/>
  <c r="J55" i="8" s="1"/>
  <c r="K121" i="6"/>
  <c r="I121" i="6"/>
  <c r="P14" i="6" l="1"/>
  <c r="F57" i="8"/>
  <c r="K12" i="1" s="1"/>
  <c r="G11" i="8"/>
  <c r="K11" i="8" s="1"/>
  <c r="L11" i="8" s="1"/>
  <c r="K16" i="1"/>
  <c r="M38" i="8"/>
  <c r="I57" i="8"/>
  <c r="J8" i="8"/>
  <c r="J57" i="8" s="1"/>
  <c r="K46" i="8"/>
  <c r="L46" i="8" s="1"/>
  <c r="K39" i="8"/>
  <c r="L39" i="8" s="1"/>
  <c r="K47" i="8"/>
  <c r="L47" i="8" s="1"/>
  <c r="K28" i="8"/>
  <c r="L28" i="8" s="1"/>
  <c r="K20" i="8"/>
  <c r="L20" i="8" s="1"/>
  <c r="K19" i="8"/>
  <c r="L19" i="8" s="1"/>
  <c r="K40" i="8"/>
  <c r="L40" i="8" s="1"/>
  <c r="K48" i="8"/>
  <c r="L48" i="8" s="1"/>
  <c r="K33" i="8"/>
  <c r="L33" i="8" s="1"/>
  <c r="K49" i="8"/>
  <c r="L49" i="8" s="1"/>
  <c r="K8" i="8"/>
  <c r="L8" i="8" s="1"/>
  <c r="G7" i="8"/>
  <c r="K26" i="8"/>
  <c r="L26" i="8" s="1"/>
  <c r="K34" i="8"/>
  <c r="L34" i="8" s="1"/>
  <c r="K27" i="8"/>
  <c r="L27" i="8" s="1"/>
  <c r="K18" i="8"/>
  <c r="L18" i="8" s="1"/>
  <c r="K42" i="8"/>
  <c r="L42" i="8" s="1"/>
  <c r="K50" i="8"/>
  <c r="L50" i="8" s="1"/>
  <c r="K35" i="8"/>
  <c r="L35" i="8" s="1"/>
  <c r="K43" i="8"/>
  <c r="L43" i="8" s="1"/>
  <c r="M51" i="8"/>
  <c r="K51" i="8"/>
  <c r="L51" i="8" s="1"/>
  <c r="K14" i="8"/>
  <c r="L14" i="8" s="1"/>
  <c r="K36" i="8"/>
  <c r="L36" i="8" s="1"/>
  <c r="K31" i="8"/>
  <c r="L31" i="8" s="1"/>
  <c r="K25" i="8"/>
  <c r="L25" i="8" s="1"/>
  <c r="K16" i="8"/>
  <c r="L16" i="8" s="1"/>
  <c r="K13" i="8"/>
  <c r="L13" i="8" s="1"/>
  <c r="K23" i="8"/>
  <c r="L23" i="8" s="1"/>
  <c r="K30" i="8"/>
  <c r="L30" i="8" s="1"/>
  <c r="K44" i="8"/>
  <c r="L44" i="8" s="1"/>
  <c r="M44" i="8"/>
  <c r="K52" i="8"/>
  <c r="L52" i="8" s="1"/>
  <c r="K37" i="8"/>
  <c r="L37" i="8" s="1"/>
  <c r="K45" i="8"/>
  <c r="L45" i="8" s="1"/>
  <c r="K53" i="8"/>
  <c r="L53" i="8" s="1"/>
  <c r="K12" i="8"/>
  <c r="L12" i="8" s="1"/>
  <c r="K29" i="8"/>
  <c r="L29" i="8" s="1"/>
  <c r="K21" i="8"/>
  <c r="L21" i="8" s="1"/>
  <c r="K15" i="8"/>
  <c r="L15" i="8" s="1"/>
  <c r="K24" i="8"/>
  <c r="L24" i="8" s="1"/>
  <c r="K9" i="8"/>
  <c r="L9" i="8" s="1"/>
  <c r="M9" i="8"/>
  <c r="K22" i="8"/>
  <c r="L22" i="8" s="1"/>
  <c r="K54" i="8"/>
  <c r="L54" i="8" s="1"/>
  <c r="K55" i="8"/>
  <c r="L55" i="8" s="1"/>
  <c r="K10" i="8"/>
  <c r="L10" i="8" s="1"/>
  <c r="K32" i="8"/>
  <c r="L32" i="8" s="1"/>
  <c r="K41" i="8"/>
  <c r="L41" i="8" s="1"/>
  <c r="K17" i="8"/>
  <c r="L17" i="8" s="1"/>
  <c r="H57" i="7"/>
  <c r="H55" i="7"/>
  <c r="H54" i="7"/>
  <c r="H53" i="7"/>
  <c r="H52" i="7"/>
  <c r="H51" i="7"/>
  <c r="H50" i="7"/>
  <c r="H49" i="7"/>
  <c r="H48" i="7"/>
  <c r="I48" i="7" s="1"/>
  <c r="H47" i="7"/>
  <c r="H46" i="7"/>
  <c r="H45" i="7"/>
  <c r="H44" i="7"/>
  <c r="H43" i="7"/>
  <c r="H42" i="7"/>
  <c r="H41" i="7"/>
  <c r="H40" i="7"/>
  <c r="I40" i="7" s="1"/>
  <c r="J40" i="7" s="1"/>
  <c r="K40" i="7" s="1"/>
  <c r="H39" i="7"/>
  <c r="H38" i="7"/>
  <c r="H37" i="7"/>
  <c r="H36" i="7"/>
  <c r="H35" i="7"/>
  <c r="H34" i="7"/>
  <c r="H33" i="7"/>
  <c r="H32" i="7"/>
  <c r="I32" i="7" s="1"/>
  <c r="J32" i="7" s="1"/>
  <c r="K32" i="7" s="1"/>
  <c r="H31" i="7"/>
  <c r="H30" i="7"/>
  <c r="H29" i="7"/>
  <c r="H28" i="7"/>
  <c r="H27" i="7"/>
  <c r="H26" i="7"/>
  <c r="H25" i="7"/>
  <c r="H24" i="7"/>
  <c r="I24" i="7" s="1"/>
  <c r="J24" i="7" s="1"/>
  <c r="K24" i="7" s="1"/>
  <c r="H23" i="7"/>
  <c r="H22" i="7"/>
  <c r="H21" i="7"/>
  <c r="H20" i="7"/>
  <c r="H19" i="7"/>
  <c r="H18" i="7"/>
  <c r="H17" i="7"/>
  <c r="H16" i="7"/>
  <c r="I16" i="7" s="1"/>
  <c r="J16" i="7" s="1"/>
  <c r="K16" i="7" s="1"/>
  <c r="H15" i="7"/>
  <c r="I15" i="7" s="1"/>
  <c r="H14" i="7"/>
  <c r="H13" i="7"/>
  <c r="H12" i="7"/>
  <c r="H11" i="7"/>
  <c r="I11" i="7" s="1"/>
  <c r="J11" i="7" s="1"/>
  <c r="K11" i="7" s="1"/>
  <c r="H10" i="7"/>
  <c r="H9" i="7"/>
  <c r="H8" i="7"/>
  <c r="I8" i="7" s="1"/>
  <c r="H7" i="7"/>
  <c r="K13" i="7"/>
  <c r="G57" i="7"/>
  <c r="G7" i="7"/>
  <c r="F7" i="7"/>
  <c r="W57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Y57" i="7"/>
  <c r="U57" i="7"/>
  <c r="T57" i="7"/>
  <c r="S57" i="7"/>
  <c r="Q57" i="7"/>
  <c r="P57" i="7"/>
  <c r="O57" i="7"/>
  <c r="D57" i="7"/>
  <c r="I54" i="7"/>
  <c r="J54" i="7" s="1"/>
  <c r="K54" i="7" s="1"/>
  <c r="I52" i="7"/>
  <c r="J52" i="7" s="1"/>
  <c r="K52" i="7" s="1"/>
  <c r="I50" i="7"/>
  <c r="J50" i="7" s="1"/>
  <c r="K50" i="7" s="1"/>
  <c r="I46" i="7"/>
  <c r="J46" i="7" s="1"/>
  <c r="K46" i="7" s="1"/>
  <c r="I44" i="7"/>
  <c r="J44" i="7" s="1"/>
  <c r="K44" i="7" s="1"/>
  <c r="I42" i="7"/>
  <c r="J42" i="7" s="1"/>
  <c r="K42" i="7" s="1"/>
  <c r="I38" i="7"/>
  <c r="J38" i="7" s="1"/>
  <c r="K38" i="7" s="1"/>
  <c r="I36" i="7"/>
  <c r="J36" i="7" s="1"/>
  <c r="K36" i="7" s="1"/>
  <c r="I34" i="7"/>
  <c r="J34" i="7" s="1"/>
  <c r="K34" i="7" s="1"/>
  <c r="I30" i="7"/>
  <c r="J30" i="7" s="1"/>
  <c r="K30" i="7" s="1"/>
  <c r="I28" i="7"/>
  <c r="J28" i="7" s="1"/>
  <c r="K28" i="7" s="1"/>
  <c r="I26" i="7"/>
  <c r="J26" i="7" s="1"/>
  <c r="K26" i="7" s="1"/>
  <c r="I22" i="7"/>
  <c r="J22" i="7" s="1"/>
  <c r="K22" i="7" s="1"/>
  <c r="I20" i="7"/>
  <c r="J20" i="7" s="1"/>
  <c r="K20" i="7" s="1"/>
  <c r="I18" i="7"/>
  <c r="J18" i="7" s="1"/>
  <c r="K18" i="7" s="1"/>
  <c r="I14" i="7"/>
  <c r="I13" i="7"/>
  <c r="J13" i="7" s="1"/>
  <c r="I10" i="7"/>
  <c r="I9" i="7"/>
  <c r="J9" i="7" s="1"/>
  <c r="K9" i="7" s="1"/>
  <c r="I16" i="1" l="1"/>
  <c r="I14" i="1"/>
  <c r="M14" i="8"/>
  <c r="M12" i="8"/>
  <c r="M25" i="8"/>
  <c r="M26" i="8"/>
  <c r="M8" i="8"/>
  <c r="M48" i="8"/>
  <c r="M47" i="8"/>
  <c r="M22" i="8"/>
  <c r="M24" i="8"/>
  <c r="M52" i="8"/>
  <c r="M30" i="8"/>
  <c r="M16" i="8"/>
  <c r="M28" i="8"/>
  <c r="M55" i="8"/>
  <c r="M11" i="8"/>
  <c r="M42" i="8"/>
  <c r="M34" i="8"/>
  <c r="M17" i="8"/>
  <c r="M54" i="8"/>
  <c r="M53" i="8"/>
  <c r="M31" i="8"/>
  <c r="M19" i="8"/>
  <c r="M39" i="8"/>
  <c r="M32" i="8"/>
  <c r="M29" i="8"/>
  <c r="M13" i="8"/>
  <c r="M36" i="8"/>
  <c r="M50" i="8"/>
  <c r="M18" i="8"/>
  <c r="M49" i="8"/>
  <c r="M40" i="8"/>
  <c r="M20" i="8"/>
  <c r="M46" i="8"/>
  <c r="M41" i="8"/>
  <c r="M10" i="8"/>
  <c r="M15" i="8"/>
  <c r="M35" i="8"/>
  <c r="M27" i="8"/>
  <c r="M33" i="8"/>
  <c r="G57" i="8"/>
  <c r="K7" i="8"/>
  <c r="L7" i="8" s="1"/>
  <c r="L57" i="8" s="1"/>
  <c r="M21" i="8"/>
  <c r="M37" i="8"/>
  <c r="M23" i="8"/>
  <c r="M43" i="8"/>
  <c r="M45" i="8"/>
  <c r="J10" i="7"/>
  <c r="K10" i="7" s="1"/>
  <c r="I12" i="7"/>
  <c r="J12" i="7" s="1"/>
  <c r="K12" i="7" s="1"/>
  <c r="J14" i="7"/>
  <c r="K14" i="7" s="1"/>
  <c r="J8" i="7"/>
  <c r="K8" i="7" s="1"/>
  <c r="J48" i="7"/>
  <c r="K48" i="7" s="1"/>
  <c r="C57" i="7"/>
  <c r="J15" i="7"/>
  <c r="K15" i="7" s="1"/>
  <c r="E57" i="7"/>
  <c r="I7" i="7"/>
  <c r="I17" i="7"/>
  <c r="J17" i="7" s="1"/>
  <c r="K17" i="7" s="1"/>
  <c r="I19" i="7"/>
  <c r="J19" i="7" s="1"/>
  <c r="K19" i="7" s="1"/>
  <c r="I21" i="7"/>
  <c r="J21" i="7" s="1"/>
  <c r="K21" i="7" s="1"/>
  <c r="I23" i="7"/>
  <c r="J23" i="7" s="1"/>
  <c r="K23" i="7" s="1"/>
  <c r="I25" i="7"/>
  <c r="J25" i="7" s="1"/>
  <c r="K25" i="7" s="1"/>
  <c r="I27" i="7"/>
  <c r="J27" i="7" s="1"/>
  <c r="K27" i="7" s="1"/>
  <c r="I29" i="7"/>
  <c r="J29" i="7" s="1"/>
  <c r="K29" i="7" s="1"/>
  <c r="I31" i="7"/>
  <c r="J31" i="7" s="1"/>
  <c r="K31" i="7" s="1"/>
  <c r="I33" i="7"/>
  <c r="J33" i="7" s="1"/>
  <c r="K33" i="7" s="1"/>
  <c r="I35" i="7"/>
  <c r="J35" i="7" s="1"/>
  <c r="K35" i="7" s="1"/>
  <c r="I37" i="7"/>
  <c r="J37" i="7" s="1"/>
  <c r="K37" i="7" s="1"/>
  <c r="I39" i="7"/>
  <c r="J39" i="7" s="1"/>
  <c r="K39" i="7" s="1"/>
  <c r="I41" i="7"/>
  <c r="J41" i="7" s="1"/>
  <c r="K41" i="7" s="1"/>
  <c r="I43" i="7"/>
  <c r="J43" i="7" s="1"/>
  <c r="K43" i="7" s="1"/>
  <c r="I45" i="7"/>
  <c r="J45" i="7" s="1"/>
  <c r="K45" i="7" s="1"/>
  <c r="I47" i="7"/>
  <c r="J47" i="7" s="1"/>
  <c r="K47" i="7" s="1"/>
  <c r="I49" i="7"/>
  <c r="J49" i="7" s="1"/>
  <c r="K49" i="7" s="1"/>
  <c r="I51" i="7"/>
  <c r="J51" i="7" s="1"/>
  <c r="K51" i="7" s="1"/>
  <c r="I53" i="7"/>
  <c r="J53" i="7" s="1"/>
  <c r="K53" i="7" s="1"/>
  <c r="I55" i="7"/>
  <c r="J55" i="7" s="1"/>
  <c r="K55" i="7" s="1"/>
  <c r="M7" i="8" l="1"/>
  <c r="M57" i="8" s="1"/>
  <c r="I57" i="7"/>
  <c r="J7" i="7"/>
  <c r="F55" i="7"/>
  <c r="G55" i="7" s="1"/>
  <c r="F53" i="7"/>
  <c r="G53" i="7" s="1"/>
  <c r="F51" i="7"/>
  <c r="G51" i="7" s="1"/>
  <c r="F49" i="7"/>
  <c r="G49" i="7" s="1"/>
  <c r="F47" i="7"/>
  <c r="G47" i="7" s="1"/>
  <c r="F45" i="7"/>
  <c r="G45" i="7" s="1"/>
  <c r="F43" i="7"/>
  <c r="G43" i="7" s="1"/>
  <c r="F41" i="7"/>
  <c r="G41" i="7" s="1"/>
  <c r="F39" i="7"/>
  <c r="G39" i="7" s="1"/>
  <c r="F37" i="7"/>
  <c r="G37" i="7" s="1"/>
  <c r="F35" i="7"/>
  <c r="G35" i="7" s="1"/>
  <c r="F33" i="7"/>
  <c r="G33" i="7" s="1"/>
  <c r="F31" i="7"/>
  <c r="G31" i="7" s="1"/>
  <c r="F29" i="7"/>
  <c r="G29" i="7" s="1"/>
  <c r="F27" i="7"/>
  <c r="G27" i="7" s="1"/>
  <c r="F25" i="7"/>
  <c r="G25" i="7" s="1"/>
  <c r="F23" i="7"/>
  <c r="G23" i="7" s="1"/>
  <c r="F21" i="7"/>
  <c r="G21" i="7" s="1"/>
  <c r="F19" i="7"/>
  <c r="G19" i="7" s="1"/>
  <c r="F17" i="7"/>
  <c r="G17" i="7" s="1"/>
  <c r="F54" i="7"/>
  <c r="G54" i="7" s="1"/>
  <c r="F52" i="7"/>
  <c r="G52" i="7" s="1"/>
  <c r="F50" i="7"/>
  <c r="G50" i="7" s="1"/>
  <c r="F48" i="7"/>
  <c r="G48" i="7" s="1"/>
  <c r="F46" i="7"/>
  <c r="G46" i="7" s="1"/>
  <c r="F44" i="7"/>
  <c r="G44" i="7" s="1"/>
  <c r="F42" i="7"/>
  <c r="G42" i="7" s="1"/>
  <c r="F40" i="7"/>
  <c r="G40" i="7" s="1"/>
  <c r="F38" i="7"/>
  <c r="G38" i="7" s="1"/>
  <c r="F36" i="7"/>
  <c r="G36" i="7" s="1"/>
  <c r="F34" i="7"/>
  <c r="G34" i="7" s="1"/>
  <c r="F32" i="7"/>
  <c r="G32" i="7" s="1"/>
  <c r="F30" i="7"/>
  <c r="G30" i="7" s="1"/>
  <c r="F28" i="7"/>
  <c r="G28" i="7" s="1"/>
  <c r="F26" i="7"/>
  <c r="G26" i="7" s="1"/>
  <c r="F24" i="7"/>
  <c r="G24" i="7" s="1"/>
  <c r="F22" i="7"/>
  <c r="G22" i="7" s="1"/>
  <c r="F20" i="7"/>
  <c r="G20" i="7" s="1"/>
  <c r="F18" i="7"/>
  <c r="G18" i="7" s="1"/>
  <c r="F13" i="7"/>
  <c r="G13" i="7" s="1"/>
  <c r="F11" i="7"/>
  <c r="G11" i="7" s="1"/>
  <c r="F9" i="7"/>
  <c r="G9" i="7" s="1"/>
  <c r="F16" i="7"/>
  <c r="G16" i="7" s="1"/>
  <c r="F15" i="7"/>
  <c r="G15" i="7" s="1"/>
  <c r="F8" i="7"/>
  <c r="G8" i="7" s="1"/>
  <c r="F14" i="7"/>
  <c r="G14" i="7" s="1"/>
  <c r="F12" i="7"/>
  <c r="G12" i="7" s="1"/>
  <c r="F10" i="7"/>
  <c r="G10" i="7" s="1"/>
  <c r="J57" i="7" l="1"/>
  <c r="K7" i="7"/>
  <c r="L7" i="7" s="1"/>
  <c r="M8" i="7"/>
  <c r="L8" i="7"/>
  <c r="L20" i="7"/>
  <c r="M20" i="7"/>
  <c r="L28" i="7"/>
  <c r="M28" i="7"/>
  <c r="L36" i="7"/>
  <c r="M36" i="7"/>
  <c r="L44" i="7"/>
  <c r="L52" i="7"/>
  <c r="L21" i="7"/>
  <c r="L45" i="7"/>
  <c r="L15" i="7"/>
  <c r="L22" i="7"/>
  <c r="L38" i="7"/>
  <c r="M38" i="7"/>
  <c r="M39" i="7"/>
  <c r="L39" i="7"/>
  <c r="M47" i="7"/>
  <c r="L47" i="7"/>
  <c r="M55" i="7"/>
  <c r="L55" i="7"/>
  <c r="L12" i="7"/>
  <c r="L16" i="7"/>
  <c r="M16" i="7"/>
  <c r="M13" i="7"/>
  <c r="L13" i="7"/>
  <c r="L24" i="7"/>
  <c r="L32" i="7"/>
  <c r="L40" i="7"/>
  <c r="L48" i="7"/>
  <c r="M17" i="7"/>
  <c r="L17" i="7"/>
  <c r="M25" i="7"/>
  <c r="L25" i="7"/>
  <c r="L33" i="7"/>
  <c r="L41" i="7"/>
  <c r="L49" i="7"/>
  <c r="L9" i="7"/>
  <c r="M29" i="7"/>
  <c r="L29" i="7"/>
  <c r="L37" i="7"/>
  <c r="L53" i="7"/>
  <c r="L10" i="7"/>
  <c r="L11" i="7"/>
  <c r="L30" i="7"/>
  <c r="L46" i="7"/>
  <c r="L54" i="7"/>
  <c r="L23" i="7"/>
  <c r="M31" i="7"/>
  <c r="L31" i="7"/>
  <c r="L14" i="7"/>
  <c r="F57" i="7"/>
  <c r="L18" i="7"/>
  <c r="L26" i="7"/>
  <c r="L34" i="7"/>
  <c r="L42" i="7"/>
  <c r="L50" i="7"/>
  <c r="M19" i="7"/>
  <c r="L19" i="7"/>
  <c r="L27" i="7"/>
  <c r="L35" i="7"/>
  <c r="L43" i="7"/>
  <c r="M51" i="7"/>
  <c r="L51" i="7"/>
  <c r="M7" i="7" l="1"/>
  <c r="M23" i="7"/>
  <c r="M35" i="7"/>
  <c r="M43" i="7"/>
  <c r="M24" i="7"/>
  <c r="M10" i="7"/>
  <c r="M41" i="7"/>
  <c r="M45" i="7"/>
  <c r="M15" i="7"/>
  <c r="M21" i="7"/>
  <c r="M37" i="7"/>
  <c r="M34" i="7"/>
  <c r="M12" i="7"/>
  <c r="M50" i="7"/>
  <c r="M42" i="7"/>
  <c r="M46" i="7"/>
  <c r="M22" i="7"/>
  <c r="M52" i="7"/>
  <c r="M18" i="7"/>
  <c r="M14" i="7"/>
  <c r="M40" i="7"/>
  <c r="M27" i="7"/>
  <c r="M53" i="7"/>
  <c r="M33" i="7"/>
  <c r="M26" i="7"/>
  <c r="L57" i="7"/>
  <c r="M54" i="7"/>
  <c r="M30" i="7"/>
  <c r="M9" i="7"/>
  <c r="M48" i="7"/>
  <c r="M32" i="7"/>
  <c r="M44" i="7"/>
  <c r="M11" i="7"/>
  <c r="M49" i="7"/>
  <c r="M57" i="7" l="1"/>
  <c r="G23" i="6"/>
  <c r="G13" i="6"/>
  <c r="G22" i="6"/>
  <c r="G12" i="6"/>
  <c r="I12" i="6" s="1"/>
  <c r="N13" i="6" l="1"/>
  <c r="K13" i="6"/>
  <c r="G43" i="6"/>
  <c r="K12" i="6" l="1"/>
  <c r="K22" i="6"/>
  <c r="J12" i="6" l="1"/>
  <c r="L12" i="6"/>
  <c r="M12" i="6"/>
  <c r="I18" i="6"/>
  <c r="L22" i="6"/>
  <c r="I22" i="6"/>
  <c r="M22" i="6"/>
  <c r="J22" i="6"/>
  <c r="N22" i="6" l="1"/>
  <c r="N12" i="6"/>
  <c r="I30" i="6"/>
  <c r="E55" i="4" l="1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I123" i="1" l="1"/>
  <c r="Y57" i="5"/>
  <c r="W57" i="5"/>
  <c r="U57" i="5"/>
  <c r="T57" i="5"/>
  <c r="S57" i="5"/>
  <c r="Q57" i="5"/>
  <c r="P57" i="5"/>
  <c r="O57" i="5"/>
  <c r="F57" i="5"/>
  <c r="E53" i="5" s="1"/>
  <c r="G53" i="5" s="1"/>
  <c r="D57" i="5"/>
  <c r="C57" i="5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E49" i="5"/>
  <c r="G49" i="5" s="1"/>
  <c r="K49" i="5" s="1"/>
  <c r="L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E41" i="5"/>
  <c r="G41" i="5" s="1"/>
  <c r="M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E33" i="5"/>
  <c r="G33" i="5" s="1"/>
  <c r="M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E25" i="5"/>
  <c r="G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E17" i="5"/>
  <c r="G17" i="5" s="1"/>
  <c r="K17" i="5" s="1"/>
  <c r="L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E9" i="5"/>
  <c r="G9" i="5" s="1"/>
  <c r="H8" i="5"/>
  <c r="J8" i="5" s="1"/>
  <c r="H7" i="5"/>
  <c r="K9" i="5" l="1"/>
  <c r="L9" i="5" s="1"/>
  <c r="M53" i="5"/>
  <c r="K53" i="5"/>
  <c r="L53" i="5" s="1"/>
  <c r="H57" i="5"/>
  <c r="J7" i="5"/>
  <c r="J57" i="5" s="1"/>
  <c r="E13" i="5"/>
  <c r="G13" i="5" s="1"/>
  <c r="E21" i="5"/>
  <c r="G21" i="5" s="1"/>
  <c r="K25" i="5"/>
  <c r="L25" i="5" s="1"/>
  <c r="E29" i="5"/>
  <c r="G29" i="5" s="1"/>
  <c r="K33" i="5"/>
  <c r="L33" i="5" s="1"/>
  <c r="E37" i="5"/>
  <c r="G37" i="5" s="1"/>
  <c r="K41" i="5"/>
  <c r="L41" i="5" s="1"/>
  <c r="E45" i="5"/>
  <c r="G45" i="5" s="1"/>
  <c r="M17" i="5"/>
  <c r="M49" i="5"/>
  <c r="E55" i="5"/>
  <c r="G55" i="5" s="1"/>
  <c r="E51" i="5"/>
  <c r="G51" i="5" s="1"/>
  <c r="E47" i="5"/>
  <c r="G47" i="5" s="1"/>
  <c r="E43" i="5"/>
  <c r="G43" i="5" s="1"/>
  <c r="E39" i="5"/>
  <c r="G39" i="5" s="1"/>
  <c r="E35" i="5"/>
  <c r="G35" i="5" s="1"/>
  <c r="E31" i="5"/>
  <c r="G31" i="5" s="1"/>
  <c r="E27" i="5"/>
  <c r="G27" i="5" s="1"/>
  <c r="E23" i="5"/>
  <c r="G23" i="5" s="1"/>
  <c r="E19" i="5"/>
  <c r="G19" i="5" s="1"/>
  <c r="E15" i="5"/>
  <c r="G15" i="5" s="1"/>
  <c r="E11" i="5"/>
  <c r="G11" i="5" s="1"/>
  <c r="E52" i="5"/>
  <c r="G52" i="5" s="1"/>
  <c r="E48" i="5"/>
  <c r="G48" i="5" s="1"/>
  <c r="E44" i="5"/>
  <c r="G44" i="5" s="1"/>
  <c r="E40" i="5"/>
  <c r="G40" i="5" s="1"/>
  <c r="E36" i="5"/>
  <c r="G36" i="5" s="1"/>
  <c r="E32" i="5"/>
  <c r="G32" i="5" s="1"/>
  <c r="E28" i="5"/>
  <c r="G28" i="5" s="1"/>
  <c r="E24" i="5"/>
  <c r="G24" i="5" s="1"/>
  <c r="E20" i="5"/>
  <c r="G20" i="5" s="1"/>
  <c r="E16" i="5"/>
  <c r="G16" i="5" s="1"/>
  <c r="E12" i="5"/>
  <c r="G12" i="5" s="1"/>
  <c r="E8" i="5"/>
  <c r="G8" i="5" s="1"/>
  <c r="E54" i="5"/>
  <c r="G54" i="5" s="1"/>
  <c r="E50" i="5"/>
  <c r="G50" i="5" s="1"/>
  <c r="E46" i="5"/>
  <c r="G46" i="5" s="1"/>
  <c r="E42" i="5"/>
  <c r="G42" i="5" s="1"/>
  <c r="E38" i="5"/>
  <c r="G38" i="5" s="1"/>
  <c r="E34" i="5"/>
  <c r="G34" i="5" s="1"/>
  <c r="E30" i="5"/>
  <c r="G30" i="5" s="1"/>
  <c r="E26" i="5"/>
  <c r="G26" i="5" s="1"/>
  <c r="E22" i="5"/>
  <c r="G22" i="5" s="1"/>
  <c r="E18" i="5"/>
  <c r="G18" i="5" s="1"/>
  <c r="E14" i="5"/>
  <c r="G14" i="5" s="1"/>
  <c r="E10" i="5"/>
  <c r="G10" i="5" s="1"/>
  <c r="E7" i="5"/>
  <c r="M9" i="5"/>
  <c r="I67" i="1"/>
  <c r="I65" i="1"/>
  <c r="M25" i="5" l="1"/>
  <c r="K26" i="5"/>
  <c r="L26" i="5" s="1"/>
  <c r="K24" i="5"/>
  <c r="L24" i="5" s="1"/>
  <c r="K27" i="5"/>
  <c r="L27" i="5" s="1"/>
  <c r="M27" i="5"/>
  <c r="K21" i="5"/>
  <c r="L21" i="5" s="1"/>
  <c r="M14" i="5"/>
  <c r="K14" i="5"/>
  <c r="L14" i="5" s="1"/>
  <c r="K12" i="5"/>
  <c r="L12" i="5" s="1"/>
  <c r="M12" i="5"/>
  <c r="M18" i="5"/>
  <c r="K18" i="5"/>
  <c r="L18" i="5" s="1"/>
  <c r="K50" i="5"/>
  <c r="L50" i="5" s="1"/>
  <c r="K32" i="5"/>
  <c r="L32" i="5" s="1"/>
  <c r="M32" i="5"/>
  <c r="K48" i="5"/>
  <c r="L48" i="5" s="1"/>
  <c r="K51" i="5"/>
  <c r="L51" i="5" s="1"/>
  <c r="M51" i="5"/>
  <c r="E57" i="5"/>
  <c r="G7" i="5"/>
  <c r="M22" i="5"/>
  <c r="K22" i="5"/>
  <c r="L22" i="5" s="1"/>
  <c r="K38" i="5"/>
  <c r="L38" i="5" s="1"/>
  <c r="K54" i="5"/>
  <c r="L54" i="5" s="1"/>
  <c r="K20" i="5"/>
  <c r="L20" i="5" s="1"/>
  <c r="M20" i="5"/>
  <c r="K36" i="5"/>
  <c r="L36" i="5" s="1"/>
  <c r="M36" i="5"/>
  <c r="K52" i="5"/>
  <c r="L52" i="5" s="1"/>
  <c r="K23" i="5"/>
  <c r="L23" i="5" s="1"/>
  <c r="M23" i="5"/>
  <c r="K39" i="5"/>
  <c r="L39" i="5" s="1"/>
  <c r="M39" i="5"/>
  <c r="K55" i="5"/>
  <c r="L55" i="5" s="1"/>
  <c r="M55" i="5"/>
  <c r="M42" i="5"/>
  <c r="K42" i="5"/>
  <c r="L42" i="5" s="1"/>
  <c r="K40" i="5"/>
  <c r="L40" i="5" s="1"/>
  <c r="K43" i="5"/>
  <c r="L43" i="5" s="1"/>
  <c r="M37" i="5"/>
  <c r="K37" i="5"/>
  <c r="L37" i="5" s="1"/>
  <c r="K30" i="5"/>
  <c r="L30" i="5" s="1"/>
  <c r="K28" i="5"/>
  <c r="L28" i="5" s="1"/>
  <c r="M28" i="5"/>
  <c r="K44" i="5"/>
  <c r="L44" i="5" s="1"/>
  <c r="M44" i="5"/>
  <c r="K15" i="5"/>
  <c r="L15" i="5" s="1"/>
  <c r="M15" i="5"/>
  <c r="K31" i="5"/>
  <c r="L31" i="5" s="1"/>
  <c r="M31" i="5"/>
  <c r="K47" i="5"/>
  <c r="L47" i="5" s="1"/>
  <c r="M47" i="5"/>
  <c r="K13" i="5"/>
  <c r="L13" i="5" s="1"/>
  <c r="M10" i="5"/>
  <c r="K10" i="5"/>
  <c r="L10" i="5" s="1"/>
  <c r="M8" i="5"/>
  <c r="K8" i="5"/>
  <c r="L8" i="5" s="1"/>
  <c r="K11" i="5"/>
  <c r="L11" i="5" s="1"/>
  <c r="M11" i="5"/>
  <c r="K46" i="5"/>
  <c r="L46" i="5" s="1"/>
  <c r="M34" i="5"/>
  <c r="K34" i="5"/>
  <c r="L34" i="5" s="1"/>
  <c r="K16" i="5"/>
  <c r="L16" i="5" s="1"/>
  <c r="K19" i="5"/>
  <c r="L19" i="5" s="1"/>
  <c r="K35" i="5"/>
  <c r="L35" i="5" s="1"/>
  <c r="M35" i="5"/>
  <c r="K45" i="5"/>
  <c r="L45" i="5" s="1"/>
  <c r="M29" i="5"/>
  <c r="K29" i="5"/>
  <c r="L29" i="5" s="1"/>
  <c r="M61" i="1"/>
  <c r="K61" i="1"/>
  <c r="M38" i="5" l="1"/>
  <c r="M19" i="5"/>
  <c r="M46" i="5"/>
  <c r="M13" i="5"/>
  <c r="M30" i="5"/>
  <c r="M40" i="5"/>
  <c r="M50" i="5"/>
  <c r="M21" i="5"/>
  <c r="M45" i="5"/>
  <c r="M16" i="5"/>
  <c r="M43" i="5"/>
  <c r="M52" i="5"/>
  <c r="G57" i="5"/>
  <c r="K7" i="5"/>
  <c r="M7" i="5" s="1"/>
  <c r="M48" i="5"/>
  <c r="M24" i="5"/>
  <c r="M54" i="5"/>
  <c r="M26" i="5"/>
  <c r="I47" i="4"/>
  <c r="I31" i="4"/>
  <c r="I15" i="4"/>
  <c r="H55" i="4"/>
  <c r="I55" i="4" s="1"/>
  <c r="H54" i="4"/>
  <c r="I54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H46" i="4"/>
  <c r="I46" i="4" s="1"/>
  <c r="H45" i="4"/>
  <c r="I45" i="4" s="1"/>
  <c r="H44" i="4"/>
  <c r="I44" i="4" s="1"/>
  <c r="H43" i="4"/>
  <c r="I43" i="4" s="1"/>
  <c r="H42" i="4"/>
  <c r="I42" i="4" s="1"/>
  <c r="H41" i="4"/>
  <c r="I41" i="4" s="1"/>
  <c r="H40" i="4"/>
  <c r="I40" i="4" s="1"/>
  <c r="H39" i="4"/>
  <c r="I39" i="4" s="1"/>
  <c r="H38" i="4"/>
  <c r="I38" i="4" s="1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H31" i="4"/>
  <c r="H30" i="4"/>
  <c r="I30" i="4" s="1"/>
  <c r="H29" i="4"/>
  <c r="I29" i="4" s="1"/>
  <c r="H28" i="4"/>
  <c r="I28" i="4" s="1"/>
  <c r="H27" i="4"/>
  <c r="I27" i="4" s="1"/>
  <c r="H26" i="4"/>
  <c r="I26" i="4" s="1"/>
  <c r="H25" i="4"/>
  <c r="I25" i="4" s="1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H14" i="4"/>
  <c r="I14" i="4" s="1"/>
  <c r="H13" i="4"/>
  <c r="I13" i="4" s="1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I57" i="4" l="1"/>
  <c r="M57" i="5"/>
  <c r="L7" i="5"/>
  <c r="L57" i="5" s="1"/>
  <c r="K57" i="5"/>
  <c r="E57" i="4"/>
  <c r="F7" i="4" l="1"/>
  <c r="F53" i="4"/>
  <c r="F49" i="4"/>
  <c r="F45" i="4"/>
  <c r="F41" i="4"/>
  <c r="F37" i="4"/>
  <c r="F33" i="4"/>
  <c r="F29" i="4"/>
  <c r="F25" i="4"/>
  <c r="F21" i="4"/>
  <c r="F17" i="4"/>
  <c r="F13" i="4"/>
  <c r="F9" i="4"/>
  <c r="F52" i="4"/>
  <c r="F48" i="4"/>
  <c r="F44" i="4"/>
  <c r="F40" i="4"/>
  <c r="F36" i="4"/>
  <c r="F32" i="4"/>
  <c r="F28" i="4"/>
  <c r="F24" i="4"/>
  <c r="F20" i="4"/>
  <c r="F16" i="4"/>
  <c r="F12" i="4"/>
  <c r="F8" i="4"/>
  <c r="F55" i="4"/>
  <c r="F51" i="4"/>
  <c r="F47" i="4"/>
  <c r="F43" i="4"/>
  <c r="F39" i="4"/>
  <c r="F35" i="4"/>
  <c r="F31" i="4"/>
  <c r="F27" i="4"/>
  <c r="F23" i="4"/>
  <c r="F19" i="4"/>
  <c r="F15" i="4"/>
  <c r="F11" i="4"/>
  <c r="F54" i="4"/>
  <c r="F50" i="4"/>
  <c r="F46" i="4"/>
  <c r="F42" i="4"/>
  <c r="F38" i="4"/>
  <c r="F34" i="4"/>
  <c r="F30" i="4"/>
  <c r="F26" i="4"/>
  <c r="F22" i="4"/>
  <c r="F18" i="4"/>
  <c r="F14" i="4"/>
  <c r="F10" i="4"/>
  <c r="F57" i="4" l="1"/>
  <c r="K49" i="1"/>
  <c r="Y57" i="4"/>
  <c r="W57" i="4"/>
  <c r="U57" i="4"/>
  <c r="T57" i="4"/>
  <c r="S57" i="4"/>
  <c r="Q57" i="4"/>
  <c r="P57" i="4"/>
  <c r="O57" i="4"/>
  <c r="G45" i="4"/>
  <c r="D57" i="4"/>
  <c r="C57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G41" i="4"/>
  <c r="M41" i="4" s="1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G21" i="4"/>
  <c r="J20" i="4"/>
  <c r="J19" i="4"/>
  <c r="G19" i="4"/>
  <c r="J18" i="4"/>
  <c r="J17" i="4"/>
  <c r="G17" i="4"/>
  <c r="J16" i="4"/>
  <c r="J15" i="4"/>
  <c r="G15" i="4"/>
  <c r="M15" i="4" s="1"/>
  <c r="J14" i="4"/>
  <c r="J13" i="4"/>
  <c r="G13" i="4"/>
  <c r="J12" i="4"/>
  <c r="J11" i="4"/>
  <c r="G11" i="4"/>
  <c r="J10" i="4"/>
  <c r="J9" i="4"/>
  <c r="G9" i="4"/>
  <c r="J8" i="4"/>
  <c r="K38" i="1" l="1"/>
  <c r="D44" i="6"/>
  <c r="H37" i="6" s="1"/>
  <c r="K18" i="1"/>
  <c r="G25" i="4"/>
  <c r="M13" i="4"/>
  <c r="M45" i="4"/>
  <c r="K45" i="4"/>
  <c r="L45" i="4" s="1"/>
  <c r="G7" i="4"/>
  <c r="H57" i="4"/>
  <c r="I82" i="1" s="1"/>
  <c r="J7" i="4"/>
  <c r="J57" i="4" s="1"/>
  <c r="G37" i="4"/>
  <c r="G53" i="4"/>
  <c r="K9" i="4"/>
  <c r="L9" i="4" s="1"/>
  <c r="K11" i="4"/>
  <c r="L11" i="4" s="1"/>
  <c r="K13" i="4"/>
  <c r="L13" i="4" s="1"/>
  <c r="K15" i="4"/>
  <c r="L15" i="4" s="1"/>
  <c r="K17" i="4"/>
  <c r="L17" i="4" s="1"/>
  <c r="K19" i="4"/>
  <c r="L19" i="4" s="1"/>
  <c r="K21" i="4"/>
  <c r="L21" i="4" s="1"/>
  <c r="K25" i="4"/>
  <c r="L25" i="4" s="1"/>
  <c r="G33" i="4"/>
  <c r="K41" i="4"/>
  <c r="L41" i="4" s="1"/>
  <c r="G49" i="4"/>
  <c r="G29" i="4"/>
  <c r="G55" i="4"/>
  <c r="G51" i="4"/>
  <c r="G47" i="4"/>
  <c r="G43" i="4"/>
  <c r="K43" i="4" s="1"/>
  <c r="G39" i="4"/>
  <c r="G35" i="4"/>
  <c r="G31" i="4"/>
  <c r="G52" i="4"/>
  <c r="G48" i="4"/>
  <c r="G44" i="4"/>
  <c r="G40" i="4"/>
  <c r="G36" i="4"/>
  <c r="G32" i="4"/>
  <c r="G28" i="4"/>
  <c r="G24" i="4"/>
  <c r="G20" i="4"/>
  <c r="G16" i="4"/>
  <c r="G12" i="4"/>
  <c r="G8" i="4"/>
  <c r="G54" i="4"/>
  <c r="G50" i="4"/>
  <c r="G46" i="4"/>
  <c r="G42" i="4"/>
  <c r="G38" i="4"/>
  <c r="G34" i="4"/>
  <c r="G30" i="4"/>
  <c r="G26" i="4"/>
  <c r="G22" i="4"/>
  <c r="G18" i="4"/>
  <c r="G14" i="4"/>
  <c r="G10" i="4"/>
  <c r="G27" i="4"/>
  <c r="G23" i="4"/>
  <c r="M82" i="1"/>
  <c r="H43" i="6" l="1"/>
  <c r="H41" i="6"/>
  <c r="K47" i="1"/>
  <c r="K42" i="1"/>
  <c r="K43" i="1"/>
  <c r="P43" i="1" s="1"/>
  <c r="K46" i="1"/>
  <c r="K41" i="1"/>
  <c r="P41" i="1" s="1"/>
  <c r="K45" i="1"/>
  <c r="M18" i="1"/>
  <c r="H39" i="6"/>
  <c r="H38" i="6"/>
  <c r="H42" i="6"/>
  <c r="J42" i="6" s="1"/>
  <c r="H40" i="6"/>
  <c r="R49" i="1"/>
  <c r="K125" i="1" s="1"/>
  <c r="P49" i="1"/>
  <c r="I125" i="1" s="1"/>
  <c r="M7" i="4"/>
  <c r="K7" i="4"/>
  <c r="L7" i="4" s="1"/>
  <c r="M11" i="4"/>
  <c r="K27" i="4"/>
  <c r="L27" i="4" s="1"/>
  <c r="K38" i="4"/>
  <c r="L38" i="4" s="1"/>
  <c r="K20" i="4"/>
  <c r="L20" i="4" s="1"/>
  <c r="M20" i="4"/>
  <c r="K52" i="4"/>
  <c r="L52" i="4" s="1"/>
  <c r="K29" i="4"/>
  <c r="L29" i="4" s="1"/>
  <c r="M10" i="4"/>
  <c r="K10" i="4"/>
  <c r="L10" i="4" s="1"/>
  <c r="K26" i="4"/>
  <c r="L26" i="4" s="1"/>
  <c r="K8" i="4"/>
  <c r="L8" i="4" s="1"/>
  <c r="K40" i="4"/>
  <c r="L40" i="4" s="1"/>
  <c r="K47" i="4"/>
  <c r="L47" i="4" s="1"/>
  <c r="M47" i="4"/>
  <c r="K49" i="4"/>
  <c r="L49" i="4" s="1"/>
  <c r="M37" i="4"/>
  <c r="K37" i="4"/>
  <c r="L37" i="4" s="1"/>
  <c r="M21" i="4"/>
  <c r="K23" i="4"/>
  <c r="L23" i="4" s="1"/>
  <c r="M23" i="4"/>
  <c r="K18" i="4"/>
  <c r="L18" i="4" s="1"/>
  <c r="K34" i="4"/>
  <c r="L34" i="4" s="1"/>
  <c r="K50" i="4"/>
  <c r="L50" i="4" s="1"/>
  <c r="K16" i="4"/>
  <c r="L16" i="4" s="1"/>
  <c r="M16" i="4"/>
  <c r="K32" i="4"/>
  <c r="L32" i="4" s="1"/>
  <c r="K48" i="4"/>
  <c r="L48" i="4" s="1"/>
  <c r="K39" i="4"/>
  <c r="L39" i="4" s="1"/>
  <c r="M39" i="4"/>
  <c r="K55" i="4"/>
  <c r="L55" i="4" s="1"/>
  <c r="M55" i="4"/>
  <c r="K33" i="4"/>
  <c r="L33" i="4" s="1"/>
  <c r="M17" i="4"/>
  <c r="K22" i="4"/>
  <c r="L22" i="4" s="1"/>
  <c r="K54" i="4"/>
  <c r="L54" i="4" s="1"/>
  <c r="K36" i="4"/>
  <c r="L36" i="4" s="1"/>
  <c r="M36" i="4"/>
  <c r="L43" i="4"/>
  <c r="K53" i="4"/>
  <c r="L53" i="4" s="1"/>
  <c r="M25" i="4"/>
  <c r="M42" i="4"/>
  <c r="K42" i="4"/>
  <c r="L42" i="4" s="1"/>
  <c r="K24" i="4"/>
  <c r="L24" i="4" s="1"/>
  <c r="K31" i="4"/>
  <c r="L31" i="4" s="1"/>
  <c r="M31" i="4"/>
  <c r="K14" i="4"/>
  <c r="L14" i="4" s="1"/>
  <c r="K30" i="4"/>
  <c r="L30" i="4" s="1"/>
  <c r="K46" i="4"/>
  <c r="L46" i="4" s="1"/>
  <c r="K12" i="4"/>
  <c r="L12" i="4" s="1"/>
  <c r="M12" i="4"/>
  <c r="K28" i="4"/>
  <c r="L28" i="4" s="1"/>
  <c r="M28" i="4"/>
  <c r="K44" i="4"/>
  <c r="L44" i="4" s="1"/>
  <c r="K35" i="4"/>
  <c r="L35" i="4" s="1"/>
  <c r="M35" i="4"/>
  <c r="K51" i="4"/>
  <c r="L51" i="4" s="1"/>
  <c r="M51" i="4"/>
  <c r="M19" i="4"/>
  <c r="M9" i="4"/>
  <c r="K123" i="1"/>
  <c r="I114" i="1"/>
  <c r="I69" i="1"/>
  <c r="K62" i="1"/>
  <c r="K51" i="1"/>
  <c r="M51" i="1" s="1"/>
  <c r="M38" i="1"/>
  <c r="M33" i="1"/>
  <c r="O18" i="1"/>
  <c r="K67" i="1" l="1"/>
  <c r="K65" i="1"/>
  <c r="U49" i="1"/>
  <c r="K80" i="1"/>
  <c r="M62" i="1"/>
  <c r="M69" i="1" s="1"/>
  <c r="R69" i="1" s="1"/>
  <c r="M20" i="1"/>
  <c r="M44" i="4"/>
  <c r="M48" i="4"/>
  <c r="M46" i="4"/>
  <c r="M32" i="4"/>
  <c r="M54" i="4"/>
  <c r="M18" i="4"/>
  <c r="P45" i="1"/>
  <c r="I118" i="1" s="1"/>
  <c r="R45" i="1"/>
  <c r="K118" i="1" s="1"/>
  <c r="R43" i="1"/>
  <c r="K111" i="1" s="1"/>
  <c r="I111" i="1"/>
  <c r="P46" i="1"/>
  <c r="I119" i="1" s="1"/>
  <c r="R46" i="1"/>
  <c r="K119" i="1" s="1"/>
  <c r="R42" i="1"/>
  <c r="K110" i="1" s="1"/>
  <c r="P42" i="1"/>
  <c r="I110" i="1" s="1"/>
  <c r="R41" i="1"/>
  <c r="K109" i="1" s="1"/>
  <c r="I109" i="1"/>
  <c r="R47" i="1"/>
  <c r="K120" i="1" s="1"/>
  <c r="P47" i="1"/>
  <c r="I120" i="1" s="1"/>
  <c r="M33" i="4"/>
  <c r="M22" i="4"/>
  <c r="M34" i="4"/>
  <c r="M14" i="4"/>
  <c r="M53" i="4"/>
  <c r="M40" i="4"/>
  <c r="M29" i="4"/>
  <c r="M27" i="4"/>
  <c r="M8" i="4"/>
  <c r="M50" i="4"/>
  <c r="M38" i="4"/>
  <c r="M24" i="4"/>
  <c r="M52" i="4"/>
  <c r="L57" i="4"/>
  <c r="M30" i="4"/>
  <c r="M43" i="4"/>
  <c r="M49" i="4"/>
  <c r="M26" i="4"/>
  <c r="K82" i="1" l="1"/>
  <c r="P82" i="1" s="1"/>
  <c r="M67" i="1"/>
  <c r="R67" i="1" s="1"/>
  <c r="M65" i="1"/>
  <c r="P65" i="1" s="1"/>
  <c r="M57" i="4"/>
  <c r="K92" i="1" l="1"/>
  <c r="M92" i="1"/>
  <c r="I92" i="1" s="1"/>
  <c r="P67" i="1"/>
  <c r="R65" i="1"/>
  <c r="P69" i="1"/>
  <c r="P71" i="1" l="1"/>
  <c r="R71" i="1"/>
  <c r="P73" i="1" l="1"/>
  <c r="R73" i="1"/>
  <c r="R76" i="1" s="1"/>
  <c r="M90" i="1" l="1"/>
  <c r="K90" i="1"/>
  <c r="P76" i="1"/>
  <c r="I90" i="1" l="1"/>
  <c r="I94" i="1" s="1"/>
  <c r="K121" i="1" s="1"/>
  <c r="K94" i="1"/>
  <c r="M94" i="1"/>
  <c r="I115" i="1" s="1"/>
  <c r="H15" i="6" l="1"/>
  <c r="H25" i="6"/>
  <c r="N23" i="6"/>
  <c r="I112" i="1"/>
  <c r="I126" i="1" s="1"/>
  <c r="K115" i="1"/>
  <c r="P25" i="6" l="1"/>
  <c r="O25" i="6"/>
  <c r="P15" i="6"/>
  <c r="O15" i="6"/>
  <c r="K126" i="1"/>
  <c r="K128" i="1" s="1"/>
  <c r="N15" i="6"/>
  <c r="N18" i="6" s="1"/>
  <c r="L15" i="6"/>
  <c r="M15" i="6"/>
  <c r="K18" i="6"/>
  <c r="N25" i="6"/>
  <c r="N30" i="6" s="1"/>
  <c r="M25" i="6"/>
  <c r="L25" i="6"/>
  <c r="J23" i="6"/>
  <c r="M13" i="6"/>
  <c r="L23" i="6"/>
  <c r="M23" i="6"/>
  <c r="L13" i="6"/>
  <c r="J13" i="6"/>
  <c r="I38" i="6" l="1"/>
  <c r="J30" i="6"/>
  <c r="O23" i="6"/>
  <c r="O30" i="6" s="1"/>
  <c r="O13" i="6"/>
  <c r="O18" i="6" s="1"/>
  <c r="L18" i="6"/>
  <c r="Q15" i="6"/>
  <c r="Q18" i="6" s="1"/>
  <c r="J18" i="6"/>
  <c r="L30" i="6"/>
  <c r="M18" i="6"/>
  <c r="K30" i="6"/>
  <c r="I145" i="1" s="1"/>
  <c r="K147" i="1" s="1"/>
  <c r="P18" i="6"/>
  <c r="M30" i="6"/>
  <c r="I39" i="6" l="1"/>
  <c r="I37" i="6"/>
  <c r="J37" i="6"/>
  <c r="J38" i="6"/>
  <c r="P30" i="6"/>
  <c r="I40" i="6" s="1"/>
  <c r="Q25" i="6"/>
  <c r="Q30" i="6" s="1"/>
  <c r="I41" i="6" s="1"/>
  <c r="K145" i="1"/>
  <c r="I147" i="1" s="1"/>
  <c r="J39" i="6"/>
  <c r="I43" i="6" l="1"/>
  <c r="J40" i="6"/>
  <c r="J41" i="6"/>
  <c r="J43" i="6" s="1"/>
</calcChain>
</file>

<file path=xl/sharedStrings.xml><?xml version="1.0" encoding="utf-8"?>
<sst xmlns="http://schemas.openxmlformats.org/spreadsheetml/2006/main" count="597" uniqueCount="216">
  <si>
    <t>Calculation of the Change in Proportion:</t>
  </si>
  <si>
    <t xml:space="preserve">Deferred </t>
  </si>
  <si>
    <t xml:space="preserve">Outflows of </t>
  </si>
  <si>
    <t>Inflows of</t>
  </si>
  <si>
    <t>NPL</t>
  </si>
  <si>
    <t>Resources</t>
  </si>
  <si>
    <t>( % )</t>
  </si>
  <si>
    <t>(Computed)</t>
  </si>
  <si>
    <t>Employer's prior year proportionate share</t>
  </si>
  <si>
    <t>Employer's current year proportionate share</t>
  </si>
  <si>
    <t>Increase (decrease) in beginning balance</t>
  </si>
  <si>
    <t xml:space="preserve">      Net effect (increase in deferred outflows of resources)</t>
  </si>
  <si>
    <t xml:space="preserve">     </t>
  </si>
  <si>
    <t>Difference between Proportionate Share of Collective</t>
  </si>
  <si>
    <t xml:space="preserve">   contributions and employer's actual contributions:</t>
  </si>
  <si>
    <t>Employer's proportionate share of total employer</t>
  </si>
  <si>
    <t xml:space="preserve">   contributions</t>
  </si>
  <si>
    <t>(Computed using current year %.)</t>
  </si>
  <si>
    <t>Difference (increase in deferred inflows of resources (should be minimal)</t>
  </si>
  <si>
    <t>Proportionate Shares of Collective Balances</t>
  </si>
  <si>
    <t>Proportionate Share @</t>
  </si>
  <si>
    <t>Change in Proportionate Share of</t>
  </si>
  <si>
    <t>Debit Balances</t>
  </si>
  <si>
    <t>Credit Balances</t>
  </si>
  <si>
    <t>(a)</t>
  </si>
  <si>
    <t>(b)</t>
  </si>
  <si>
    <t>(b) - (a)</t>
  </si>
  <si>
    <t>Deferred Outflows</t>
  </si>
  <si>
    <t>Difference Between Expected and Actual Experience</t>
  </si>
  <si>
    <t>Change in Assumptions</t>
  </si>
  <si>
    <t>Deferred Inflows</t>
  </si>
  <si>
    <t>Difference between Projected and Actual Investment</t>
  </si>
  <si>
    <t>Net Pension Liability</t>
  </si>
  <si>
    <t>e</t>
  </si>
  <si>
    <t>Collective Pension Expense</t>
  </si>
  <si>
    <t>K1</t>
  </si>
  <si>
    <t>X</t>
  </si>
  <si>
    <t>(Proportionate %)</t>
  </si>
  <si>
    <t>Change in Entity's Proportion (2a)</t>
  </si>
  <si>
    <t>Collective amounts</t>
  </si>
  <si>
    <t>Deferred Outflows of Resources</t>
  </si>
  <si>
    <t>Deferred inflows of Resources</t>
  </si>
  <si>
    <t>Total of changes in the Entity's beginning reported balances</t>
  </si>
  <si>
    <t>Amount to be recognized for the net effect of the change</t>
  </si>
  <si>
    <t xml:space="preserve">    in the Entity's proportion on beginning reported balances</t>
  </si>
  <si>
    <t>Total of amounts recognized for the change in Entity's proportion</t>
  </si>
  <si>
    <t xml:space="preserve">Proportionate </t>
  </si>
  <si>
    <t>Entity's contributions during the measurement period (2b)</t>
  </si>
  <si>
    <t>Entity</t>
  </si>
  <si>
    <t>Contributions</t>
  </si>
  <si>
    <t>Difference</t>
  </si>
  <si>
    <t>Collective Amount</t>
  </si>
  <si>
    <t>Net effect of change in proportion and differences between</t>
  </si>
  <si>
    <t xml:space="preserve">Pension </t>
  </si>
  <si>
    <t>Entity contributions and proportionate share of contributions (2c)</t>
  </si>
  <si>
    <t>of Resources</t>
  </si>
  <si>
    <t>Expense</t>
  </si>
  <si>
    <t>Change in proportion (from (2a) above)</t>
  </si>
  <si>
    <t>Contributions during measurement period (from 2b) above</t>
  </si>
  <si>
    <t>Net amount recognized</t>
  </si>
  <si>
    <t>Average expected remaining service life for all System members:</t>
  </si>
  <si>
    <t>years</t>
  </si>
  <si>
    <t>DR</t>
  </si>
  <si>
    <t>CR</t>
  </si>
  <si>
    <t>Pension Expense</t>
  </si>
  <si>
    <t>Pension Expense -  proportion of collective pension expense</t>
  </si>
  <si>
    <t>Pension Expense - amortization of proportion changes</t>
  </si>
  <si>
    <t>Difference Between Projected and Actual Investment</t>
  </si>
  <si>
    <t xml:space="preserve">Deferred Outflows of Resources </t>
  </si>
  <si>
    <t>Totals</t>
  </si>
  <si>
    <t>Check figure</t>
  </si>
  <si>
    <t xml:space="preserve">Deferred Outflows of Resources - </t>
  </si>
  <si>
    <t>Rounding</t>
  </si>
  <si>
    <t>Total employer contributions (as reported on MF&amp;PRS Spreadsheet)</t>
  </si>
  <si>
    <t>Employer's actual contributions (as reported on MF&amp;PRS Spreadsheet)</t>
  </si>
  <si>
    <t xml:space="preserve">Employer contributions </t>
  </si>
  <si>
    <t>.</t>
  </si>
  <si>
    <t>(Per MFPRSI Spreadsheet)</t>
  </si>
  <si>
    <t>Actuarially</t>
  </si>
  <si>
    <t>Change in Proportionate Share</t>
  </si>
  <si>
    <t>Change in</t>
  </si>
  <si>
    <t>Contribution</t>
  </si>
  <si>
    <t>Expected</t>
  </si>
  <si>
    <t>Projected</t>
  </si>
  <si>
    <t>Share of</t>
  </si>
  <si>
    <t>Proportionate</t>
  </si>
  <si>
    <t>NPL Beginning</t>
  </si>
  <si>
    <t>Share of NPL</t>
  </si>
  <si>
    <t>in Relation</t>
  </si>
  <si>
    <t>Deficiency/</t>
  </si>
  <si>
    <t>Pension</t>
  </si>
  <si>
    <t>Deferred</t>
  </si>
  <si>
    <t>and Actual</t>
  </si>
  <si>
    <t>CITY</t>
  </si>
  <si>
    <t>Share (%)</t>
  </si>
  <si>
    <t>Balance</t>
  </si>
  <si>
    <t>Share</t>
  </si>
  <si>
    <t>to the ADC</t>
  </si>
  <si>
    <t>(Excess)</t>
  </si>
  <si>
    <t>Outflows</t>
  </si>
  <si>
    <t>Inflows</t>
  </si>
  <si>
    <t>Experience</t>
  </si>
  <si>
    <t>Assumptions</t>
  </si>
  <si>
    <t>Earnings</t>
  </si>
  <si>
    <t>AMES</t>
  </si>
  <si>
    <t>ANKENY</t>
  </si>
  <si>
    <t>BETTENDORF</t>
  </si>
  <si>
    <t>BOONE</t>
  </si>
  <si>
    <t>BURLINGTON</t>
  </si>
  <si>
    <t>CAMANCHE</t>
  </si>
  <si>
    <t>CARROLL</t>
  </si>
  <si>
    <t>CEDAR FALLS</t>
  </si>
  <si>
    <t>CEDAR RAPIDS</t>
  </si>
  <si>
    <t>CENTERVILLE</t>
  </si>
  <si>
    <t>CHARLES CITY</t>
  </si>
  <si>
    <t>CLINTON</t>
  </si>
  <si>
    <t>CLIVE</t>
  </si>
  <si>
    <t>COUNCIL BLUFFS</t>
  </si>
  <si>
    <t>CRESTON</t>
  </si>
  <si>
    <t>DAVENPORT</t>
  </si>
  <si>
    <t>DECORAH</t>
  </si>
  <si>
    <t>DES MOINES</t>
  </si>
  <si>
    <t>DEWITT</t>
  </si>
  <si>
    <t>DUBUQUE</t>
  </si>
  <si>
    <t>ESTHERVILLE</t>
  </si>
  <si>
    <t>EVANSDALE</t>
  </si>
  <si>
    <t>FAIRFIELD</t>
  </si>
  <si>
    <t>FORT DODGE</t>
  </si>
  <si>
    <t>FORT MADISON</t>
  </si>
  <si>
    <t>GRINNELL</t>
  </si>
  <si>
    <t>INDIANOLA</t>
  </si>
  <si>
    <t>IOWA CITY</t>
  </si>
  <si>
    <t>KEOKUK</t>
  </si>
  <si>
    <t>KNOXVILLE</t>
  </si>
  <si>
    <t>LEMARS</t>
  </si>
  <si>
    <t>MAQUOKETA</t>
  </si>
  <si>
    <t>MARION</t>
  </si>
  <si>
    <t>MARSHALLTOWN</t>
  </si>
  <si>
    <t>MASON CITY</t>
  </si>
  <si>
    <t>MUSCATINE</t>
  </si>
  <si>
    <t>NEWTON</t>
  </si>
  <si>
    <t>OELWEIN</t>
  </si>
  <si>
    <t>OSKALOOSA</t>
  </si>
  <si>
    <t>OTTUMWA</t>
  </si>
  <si>
    <t>PELLA</t>
  </si>
  <si>
    <t>SIOUX CITY</t>
  </si>
  <si>
    <t>SPENCER</t>
  </si>
  <si>
    <t>STORM LAKE</t>
  </si>
  <si>
    <t>URBANDALE</t>
  </si>
  <si>
    <t>WATERLOO</t>
  </si>
  <si>
    <t>WAVERLY</t>
  </si>
  <si>
    <t>WEBSTER CITY</t>
  </si>
  <si>
    <t>WEST DES MOINES</t>
  </si>
  <si>
    <t>Rounding Adjustment</t>
  </si>
  <si>
    <t>City</t>
  </si>
  <si>
    <t>ID</t>
  </si>
  <si>
    <t>City ID</t>
  </si>
  <si>
    <t>Supplemental GASB 68 Schedule I</t>
  </si>
  <si>
    <t>Supplemental GASB 68 Schedule II</t>
  </si>
  <si>
    <t>Share Of</t>
  </si>
  <si>
    <t>Changes in</t>
  </si>
  <si>
    <t>MFPRSI GASB 68 Calculator</t>
  </si>
  <si>
    <t>Instructions:  Manually enter in the Deferred Outflows of Resources and Expense in the corresponding yellow boxes.  This information should equal the employer's current fiscal year contributions to MFPRSI.</t>
  </si>
  <si>
    <t xml:space="preserve">Amortization Schedule of the Net Change in the Proportion and Contributions </t>
  </si>
  <si>
    <t>(GASB 68 paragraphs 54 &amp; 55)</t>
  </si>
  <si>
    <t>(Per GASB 68 paragraph 52 the change in proportion and contributions may be netted for the year)</t>
  </si>
  <si>
    <t xml:space="preserve">Year of </t>
  </si>
  <si>
    <t>Amortization</t>
  </si>
  <si>
    <t xml:space="preserve">Amount of </t>
  </si>
  <si>
    <t>Amount to be Amortized in:</t>
  </si>
  <si>
    <t>Deferral</t>
  </si>
  <si>
    <t>Period in years</t>
  </si>
  <si>
    <t>Deferred outflows of resources:</t>
  </si>
  <si>
    <t>Total amortization of outflows</t>
  </si>
  <si>
    <t>Deferred inflows of resources:</t>
  </si>
  <si>
    <t>Total amortization of inflows</t>
  </si>
  <si>
    <t>Amortization of Deferred Outflows and Deferred Inflows of Resources:</t>
  </si>
  <si>
    <t>To be amortized during:</t>
  </si>
  <si>
    <t>Collective per</t>
  </si>
  <si>
    <t>Employer's</t>
  </si>
  <si>
    <t xml:space="preserve">From </t>
  </si>
  <si>
    <t xml:space="preserve">Year ending June 30, </t>
  </si>
  <si>
    <t>Actuary Report</t>
  </si>
  <si>
    <t>Proportion</t>
  </si>
  <si>
    <t>Above</t>
  </si>
  <si>
    <t>Total</t>
  </si>
  <si>
    <t>Thereafter</t>
  </si>
  <si>
    <t xml:space="preserve">             Totals</t>
  </si>
  <si>
    <t>Proportionate %:</t>
  </si>
  <si>
    <t>(Column G X D40)</t>
  </si>
  <si>
    <t>To record amoritzation of prior year deferred inflows for</t>
  </si>
  <si>
    <t>Deferred Outflows of Resources-from Proportionate Change</t>
  </si>
  <si>
    <t>Deferred Outflows (Inflows) of Resources</t>
  </si>
  <si>
    <t xml:space="preserve">Total Change in </t>
  </si>
  <si>
    <t>Proportionate Share</t>
  </si>
  <si>
    <t>MFPRSI Amortization Schedule</t>
  </si>
  <si>
    <t>Total Contributions in Relation to the ADC:</t>
  </si>
  <si>
    <t>net</t>
  </si>
  <si>
    <t>Deferred Inflows of Resources from proportion change</t>
  </si>
  <si>
    <t>Deferred Outflows of Resources from proportion change</t>
  </si>
  <si>
    <t>Deferred Inflows (Net projected and actual investment inflow balance)</t>
  </si>
  <si>
    <t>GAAP reporting cities may need to make the following beginning entry to move their Net Difference Between Projected and Actual Investment balance from deferred inflows to deferred outflows</t>
  </si>
  <si>
    <t>Deferred Outflows (Net projected and actual investment inflow balance)</t>
  </si>
  <si>
    <t>Beginning balance collective measure (as of June 30, 2016 measurement date)</t>
  </si>
  <si>
    <t>Share at 6/30/2017</t>
  </si>
  <si>
    <t>Journal Entries for Entity's Year Ended June 30, 2018 (June 30, 2017 measurement date)</t>
  </si>
  <si>
    <t>To record pension accrual amounts for the year ended June 30, 2018</t>
  </si>
  <si>
    <t xml:space="preserve">   based on the June 30, 2017 measurement date.</t>
  </si>
  <si>
    <t>Journal Entry to record deferred outflow at June 30, 2018:</t>
  </si>
  <si>
    <t>To record employer contributions from July 1, 2017</t>
  </si>
  <si>
    <t xml:space="preserve"> - Entity contributions from 7/01/2016 through 6/30/2017</t>
  </si>
  <si>
    <t>Instructions:  Locate the corresponding City ID in column A with your City in column B on the tab, MFPRSI Supplemental Info 2017.  Enter the City ID in the yellow box below and press 'Enter'.   Entering the City ID will auto-populate data for the gray boxes on the calculator.  Amounts to be used as journal entries as of June 30, 2018, will be created below.</t>
  </si>
  <si>
    <t xml:space="preserve">   through June 30, 2018 as deferred outflows at June 30, 2018.</t>
  </si>
  <si>
    <t>the year ended June 30,2018</t>
  </si>
  <si>
    <t>at June 30, 2016</t>
  </si>
  <si>
    <t>Instructions: Enter amount from 2017 mfprsi gasb 68 caclulator's "amort" tab for 2015 - 2017 outflows and inflows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</si>
</sst>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00"/>
    <numFmt numFmtId="166" formatCode="_(* #,##0_);_(* \(#,##0\);_(* &quot;-&quot;??_);_(@_)"/>
    <numFmt numFmtId="167" formatCode="[$-409]mmmm\ d\,\ yyyy;@"/>
    <numFmt numFmtId="168" formatCode="0.000000%"/>
    <numFmt numFmtId="169" formatCode="mm/dd/yy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theme="1"/>
      <name val="Arial Narrow"/>
      <family val="2"/>
    </font>
    <font>
      <u/>
      <sz val="10"/>
      <name val="Arial Narrow"/>
      <family val="2"/>
    </font>
    <font>
      <u val="singleAccounting"/>
      <sz val="10"/>
      <color theme="1"/>
      <name val="Arial Narrow"/>
      <family val="2"/>
    </font>
    <font>
      <sz val="10"/>
      <name val="Arial Narrow"/>
      <family val="2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1" xfId="2" applyNumberFormat="1" applyFont="1" applyBorder="1"/>
    <xf numFmtId="0" fontId="0" fillId="0" borderId="0" xfId="0" applyBorder="1" applyAlignment="1">
      <alignment horizontal="center"/>
    </xf>
    <xf numFmtId="164" fontId="0" fillId="0" borderId="0" xfId="2" applyNumberFormat="1" applyFont="1"/>
    <xf numFmtId="0" fontId="5" fillId="0" borderId="0" xfId="0" applyFont="1"/>
    <xf numFmtId="164" fontId="0" fillId="0" borderId="2" xfId="2" applyNumberFormat="1" applyFont="1" applyBorder="1"/>
    <xf numFmtId="164" fontId="6" fillId="0" borderId="0" xfId="2" applyNumberFormat="1" applyFont="1"/>
    <xf numFmtId="0" fontId="2" fillId="0" borderId="0" xfId="0" applyFont="1"/>
    <xf numFmtId="164" fontId="0" fillId="0" borderId="0" xfId="2" applyNumberFormat="1" applyFont="1" applyBorder="1"/>
    <xf numFmtId="44" fontId="0" fillId="0" borderId="0" xfId="0" applyNumberFormat="1"/>
    <xf numFmtId="0" fontId="2" fillId="0" borderId="3" xfId="0" applyFont="1" applyBorder="1"/>
    <xf numFmtId="164" fontId="2" fillId="0" borderId="0" xfId="2" applyNumberFormat="1" applyFont="1"/>
    <xf numFmtId="44" fontId="0" fillId="0" borderId="0" xfId="2" applyFont="1"/>
    <xf numFmtId="166" fontId="0" fillId="0" borderId="0" xfId="1" applyNumberFormat="1" applyFont="1"/>
    <xf numFmtId="0" fontId="4" fillId="0" borderId="0" xfId="0" applyFont="1" applyBorder="1"/>
    <xf numFmtId="0" fontId="0" fillId="0" borderId="3" xfId="0" applyBorder="1"/>
    <xf numFmtId="167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/>
    <xf numFmtId="164" fontId="2" fillId="0" borderId="0" xfId="2" applyNumberFormat="1" applyFont="1" applyAlignment="1">
      <alignment horizontal="center"/>
    </xf>
    <xf numFmtId="0" fontId="5" fillId="0" borderId="0" xfId="0" applyFont="1" applyBorder="1"/>
    <xf numFmtId="168" fontId="0" fillId="0" borderId="3" xfId="3" applyNumberFormat="1" applyFont="1" applyBorder="1"/>
    <xf numFmtId="168" fontId="0" fillId="0" borderId="0" xfId="3" applyNumberFormat="1" applyFont="1" applyBorder="1"/>
    <xf numFmtId="164" fontId="0" fillId="0" borderId="4" xfId="2" applyNumberFormat="1" applyFont="1" applyBorder="1"/>
    <xf numFmtId="0" fontId="2" fillId="0" borderId="0" xfId="0" applyFont="1" applyBorder="1"/>
    <xf numFmtId="164" fontId="0" fillId="0" borderId="0" xfId="0" applyNumberFormat="1"/>
    <xf numFmtId="1" fontId="0" fillId="0" borderId="0" xfId="0" applyNumberFormat="1"/>
    <xf numFmtId="166" fontId="0" fillId="0" borderId="3" xfId="1" applyNumberFormat="1" applyFont="1" applyBorder="1"/>
    <xf numFmtId="164" fontId="1" fillId="0" borderId="0" xfId="2" applyNumberFormat="1" applyFont="1" applyFill="1" applyBorder="1"/>
    <xf numFmtId="164" fontId="0" fillId="0" borderId="3" xfId="2" applyNumberFormat="1" applyFont="1" applyBorder="1"/>
    <xf numFmtId="0" fontId="0" fillId="0" borderId="0" xfId="0" applyBorder="1"/>
    <xf numFmtId="165" fontId="2" fillId="0" borderId="0" xfId="0" applyNumberFormat="1" applyFont="1" applyBorder="1" applyAlignment="1">
      <alignment horizontal="center"/>
    </xf>
    <xf numFmtId="166" fontId="0" fillId="0" borderId="0" xfId="1" applyNumberFormat="1" applyFont="1" applyBorder="1"/>
    <xf numFmtId="166" fontId="0" fillId="0" borderId="4" xfId="1" applyNumberFormat="1" applyFont="1" applyBorder="1"/>
    <xf numFmtId="166" fontId="2" fillId="0" borderId="4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0" fontId="2" fillId="0" borderId="0" xfId="0" applyFont="1" applyAlignment="1"/>
    <xf numFmtId="166" fontId="2" fillId="0" borderId="0" xfId="0" applyNumberFormat="1" applyFont="1" applyBorder="1" applyAlignment="1">
      <alignment horizontal="center"/>
    </xf>
    <xf numFmtId="166" fontId="0" fillId="0" borderId="0" xfId="0" applyNumberFormat="1"/>
    <xf numFmtId="166" fontId="2" fillId="0" borderId="0" xfId="1" applyNumberFormat="1" applyFont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164" fontId="0" fillId="0" borderId="0" xfId="0" applyNumberFormat="1" applyBorder="1"/>
    <xf numFmtId="164" fontId="0" fillId="0" borderId="0" xfId="2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168" fontId="7" fillId="0" borderId="0" xfId="3" applyNumberFormat="1" applyFont="1"/>
    <xf numFmtId="43" fontId="7" fillId="0" borderId="0" xfId="1" applyFont="1"/>
    <xf numFmtId="0" fontId="7" fillId="0" borderId="0" xfId="0" applyFont="1"/>
    <xf numFmtId="166" fontId="7" fillId="0" borderId="0" xfId="0" applyNumberFormat="1" applyFont="1"/>
    <xf numFmtId="43" fontId="7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7" fontId="7" fillId="0" borderId="0" xfId="1" applyNumberFormat="1" applyFont="1" applyAlignment="1">
      <alignment horizontal="center"/>
    </xf>
    <xf numFmtId="168" fontId="7" fillId="0" borderId="0" xfId="3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0" fontId="10" fillId="0" borderId="0" xfId="0" applyFont="1" applyBorder="1" applyAlignment="1">
      <alignment horizontal="left"/>
    </xf>
    <xf numFmtId="168" fontId="11" fillId="0" borderId="0" xfId="3" applyNumberFormat="1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167" fontId="11" fillId="0" borderId="0" xfId="1" applyNumberFormat="1" applyFont="1" applyBorder="1" applyAlignment="1">
      <alignment horizontal="center"/>
    </xf>
    <xf numFmtId="43" fontId="11" fillId="0" borderId="0" xfId="1" applyFont="1" applyAlignment="1">
      <alignment horizontal="center"/>
    </xf>
    <xf numFmtId="166" fontId="11" fillId="0" borderId="0" xfId="1" applyNumberFormat="1" applyFont="1" applyAlignment="1">
      <alignment horizontal="center"/>
    </xf>
    <xf numFmtId="169" fontId="12" fillId="0" borderId="0" xfId="0" applyNumberFormat="1" applyFont="1" applyAlignment="1">
      <alignment horizontal="left"/>
    </xf>
    <xf numFmtId="37" fontId="7" fillId="0" borderId="0" xfId="1" applyNumberFormat="1" applyFont="1"/>
    <xf numFmtId="166" fontId="7" fillId="0" borderId="0" xfId="1" applyNumberFormat="1" applyFont="1"/>
    <xf numFmtId="166" fontId="7" fillId="0" borderId="0" xfId="0" applyNumberFormat="1" applyFont="1" applyAlignment="1">
      <alignment horizontal="right"/>
    </xf>
    <xf numFmtId="169" fontId="12" fillId="0" borderId="0" xfId="0" applyNumberFormat="1" applyFont="1" applyAlignment="1" applyProtection="1">
      <alignment horizontal="left"/>
    </xf>
    <xf numFmtId="169" fontId="12" fillId="0" borderId="0" xfId="0" applyNumberFormat="1" applyFont="1"/>
    <xf numFmtId="0" fontId="12" fillId="0" borderId="0" xfId="0" applyFont="1"/>
    <xf numFmtId="9" fontId="7" fillId="0" borderId="0" xfId="3" applyFont="1" applyAlignment="1">
      <alignment horizontal="center"/>
    </xf>
    <xf numFmtId="1" fontId="0" fillId="0" borderId="3" xfId="0" applyNumberFormat="1" applyBorder="1"/>
    <xf numFmtId="165" fontId="0" fillId="0" borderId="1" xfId="0" applyNumberFormat="1" applyFont="1" applyFill="1" applyBorder="1"/>
    <xf numFmtId="0" fontId="0" fillId="0" borderId="0" xfId="0" applyFill="1"/>
    <xf numFmtId="164" fontId="1" fillId="0" borderId="1" xfId="2" applyNumberFormat="1" applyFont="1" applyFill="1" applyBorder="1"/>
    <xf numFmtId="164" fontId="0" fillId="0" borderId="0" xfId="2" applyNumberFormat="1" applyFont="1" applyFill="1"/>
    <xf numFmtId="2" fontId="1" fillId="0" borderId="1" xfId="2" applyNumberFormat="1" applyFont="1" applyFill="1" applyBorder="1"/>
    <xf numFmtId="0" fontId="14" fillId="0" borderId="0" xfId="0" applyFont="1"/>
    <xf numFmtId="164" fontId="0" fillId="0" borderId="14" xfId="2" applyNumberFormat="1" applyFont="1" applyBorder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0" fillId="3" borderId="0" xfId="2" applyNumberFormat="1" applyFont="1" applyFill="1"/>
    <xf numFmtId="168" fontId="0" fillId="0" borderId="2" xfId="3" applyNumberFormat="1" applyFont="1" applyBorder="1"/>
    <xf numFmtId="0" fontId="2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64" fontId="0" fillId="0" borderId="5" xfId="2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2" applyNumberFormat="1" applyFont="1" applyFill="1" applyBorder="1"/>
    <xf numFmtId="166" fontId="0" fillId="0" borderId="0" xfId="1" applyNumberFormat="1" applyFont="1" applyFill="1"/>
    <xf numFmtId="2" fontId="0" fillId="0" borderId="5" xfId="0" applyNumberFormat="1" applyFill="1" applyBorder="1"/>
    <xf numFmtId="0" fontId="0" fillId="2" borderId="0" xfId="0" applyFill="1"/>
    <xf numFmtId="168" fontId="0" fillId="0" borderId="0" xfId="0" applyNumberFormat="1"/>
    <xf numFmtId="0" fontId="8" fillId="0" borderId="0" xfId="0" applyFont="1" applyFill="1"/>
    <xf numFmtId="168" fontId="7" fillId="0" borderId="0" xfId="3" applyNumberFormat="1" applyFont="1" applyFill="1"/>
    <xf numFmtId="167" fontId="7" fillId="0" borderId="0" xfId="1" applyNumberFormat="1" applyFont="1" applyFill="1" applyAlignment="1">
      <alignment horizontal="center"/>
    </xf>
    <xf numFmtId="168" fontId="7" fillId="0" borderId="0" xfId="3" applyNumberFormat="1" applyFont="1" applyFill="1" applyAlignment="1">
      <alignment horizontal="center"/>
    </xf>
    <xf numFmtId="168" fontId="11" fillId="0" borderId="0" xfId="3" applyNumberFormat="1" applyFont="1" applyFill="1" applyBorder="1" applyAlignment="1">
      <alignment horizontal="center"/>
    </xf>
    <xf numFmtId="9" fontId="7" fillId="0" borderId="0" xfId="3" applyFon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43" fontId="11" fillId="0" borderId="0" xfId="1" applyFont="1" applyFill="1" applyBorder="1" applyAlignment="1">
      <alignment horizontal="center"/>
    </xf>
    <xf numFmtId="166" fontId="7" fillId="0" borderId="0" xfId="1" applyNumberFormat="1" applyFont="1" applyFill="1"/>
    <xf numFmtId="37" fontId="7" fillId="0" borderId="0" xfId="1" applyNumberFormat="1" applyFont="1" applyFill="1"/>
    <xf numFmtId="0" fontId="7" fillId="0" borderId="0" xfId="0" applyFont="1" applyFill="1"/>
    <xf numFmtId="167" fontId="11" fillId="0" borderId="0" xfId="1" applyNumberFormat="1" applyFont="1" applyFill="1" applyBorder="1" applyAlignment="1">
      <alignment horizontal="center"/>
    </xf>
    <xf numFmtId="166" fontId="7" fillId="0" borderId="0" xfId="0" applyNumberFormat="1" applyFont="1" applyFill="1"/>
    <xf numFmtId="0" fontId="7" fillId="0" borderId="0" xfId="0" applyFont="1" applyFill="1" applyAlignment="1">
      <alignment horizontal="center"/>
    </xf>
    <xf numFmtId="43" fontId="11" fillId="0" borderId="0" xfId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1" fontId="0" fillId="0" borderId="0" xfId="0" applyNumberFormat="1" applyFill="1" applyBorder="1"/>
    <xf numFmtId="166" fontId="7" fillId="0" borderId="0" xfId="1" applyNumberFormat="1" applyFont="1" applyFill="1" applyAlignment="1">
      <alignment horizontal="center"/>
    </xf>
    <xf numFmtId="166" fontId="11" fillId="0" borderId="0" xfId="1" applyNumberFormat="1" applyFont="1" applyFill="1" applyAlignment="1">
      <alignment horizontal="center"/>
    </xf>
    <xf numFmtId="164" fontId="7" fillId="0" borderId="0" xfId="2" applyNumberFormat="1" applyFont="1" applyFill="1"/>
    <xf numFmtId="0" fontId="0" fillId="2" borderId="1" xfId="0" applyNumberFormat="1" applyFont="1" applyFill="1" applyBorder="1" applyAlignment="1" applyProtection="1">
      <alignment horizontal="center"/>
      <protection locked="0"/>
    </xf>
    <xf numFmtId="166" fontId="0" fillId="2" borderId="0" xfId="1" applyNumberFormat="1" applyFont="1" applyFill="1" applyProtection="1">
      <protection locked="0"/>
    </xf>
    <xf numFmtId="166" fontId="2" fillId="0" borderId="0" xfId="1" applyNumberFormat="1" applyFont="1" applyAlignment="1" applyProtection="1">
      <alignment horizontal="center"/>
      <protection locked="0"/>
    </xf>
    <xf numFmtId="164" fontId="0" fillId="2" borderId="5" xfId="2" applyNumberFormat="1" applyFont="1" applyFill="1" applyBorder="1" applyAlignment="1" applyProtection="1">
      <alignment horizontal="right"/>
      <protection locked="0"/>
    </xf>
    <xf numFmtId="164" fontId="0" fillId="2" borderId="5" xfId="2" applyNumberFormat="1" applyFont="1" applyFill="1" applyBorder="1" applyProtection="1">
      <protection locked="0"/>
    </xf>
    <xf numFmtId="0" fontId="2" fillId="0" borderId="3" xfId="0" applyFont="1" applyBorder="1" applyAlignment="1">
      <alignment horizontal="center"/>
    </xf>
    <xf numFmtId="0" fontId="13" fillId="3" borderId="6" xfId="0" applyFont="1" applyFill="1" applyBorder="1" applyAlignment="1">
      <alignment horizontal="left" wrapText="1"/>
    </xf>
    <xf numFmtId="0" fontId="13" fillId="3" borderId="7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left" wrapText="1"/>
    </xf>
    <xf numFmtId="0" fontId="13" fillId="3" borderId="10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left" wrapText="1"/>
    </xf>
    <xf numFmtId="0" fontId="13" fillId="3" borderId="12" xfId="0" applyFont="1" applyFill="1" applyBorder="1" applyAlignment="1">
      <alignment horizontal="left" wrapText="1"/>
    </xf>
    <xf numFmtId="0" fontId="13" fillId="3" borderId="13" xfId="0" applyFont="1" applyFill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15" fillId="0" borderId="16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43" fontId="7" fillId="0" borderId="3" xfId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3" fontId="7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0" fillId="0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6"/>
  <sheetViews>
    <sheetView tabSelected="1" zoomScale="80" zoomScaleNormal="80" workbookViewId="0">
      <selection activeCell="C8" sqref="C8"/>
    </sheetView>
  </sheetViews>
  <sheetFormatPr defaultRowHeight="15" x14ac:dyDescent="0.25"/>
  <cols>
    <col min="1" max="1" width="2.7109375" customWidth="1"/>
    <col min="5" max="5" width="15.7109375" customWidth="1"/>
    <col min="6" max="6" width="2.5703125" customWidth="1"/>
    <col min="7" max="7" width="17.85546875" customWidth="1"/>
    <col min="8" max="8" width="4" customWidth="1"/>
    <col min="9" max="9" width="17.85546875" customWidth="1"/>
    <col min="10" max="10" width="2.42578125" customWidth="1"/>
    <col min="11" max="11" width="22" bestFit="1" customWidth="1"/>
    <col min="12" max="12" width="4.5703125" customWidth="1"/>
    <col min="13" max="13" width="15.7109375" customWidth="1"/>
    <col min="14" max="14" width="3.42578125" customWidth="1"/>
    <col min="15" max="15" width="15.7109375" customWidth="1"/>
    <col min="16" max="16" width="13.5703125" customWidth="1"/>
    <col min="17" max="17" width="2.85546875" customWidth="1"/>
    <col min="18" max="18" width="15.28515625" customWidth="1"/>
    <col min="19" max="19" width="3.140625" customWidth="1"/>
    <col min="20" max="20" width="11.5703125" bestFit="1" customWidth="1"/>
    <col min="21" max="21" width="11.42578125" bestFit="1" customWidth="1"/>
    <col min="22" max="22" width="13.28515625" bestFit="1" customWidth="1"/>
  </cols>
  <sheetData>
    <row r="1" spans="1:22" ht="9.9499999999999993" customHeight="1" x14ac:dyDescent="0.25"/>
    <row r="2" spans="1:22" ht="18.75" x14ac:dyDescent="0.3">
      <c r="A2" s="1" t="s">
        <v>161</v>
      </c>
    </row>
    <row r="3" spans="1:22" ht="9.9499999999999993" customHeight="1" x14ac:dyDescent="0.3">
      <c r="A3" s="1"/>
    </row>
    <row r="4" spans="1:22" ht="18.75" customHeight="1" x14ac:dyDescent="0.25">
      <c r="A4" s="132" t="s">
        <v>211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4"/>
    </row>
    <row r="5" spans="1:22" ht="18.75" customHeight="1" x14ac:dyDescent="0.25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7"/>
    </row>
    <row r="6" spans="1:22" ht="18.75" customHeight="1" x14ac:dyDescent="0.25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40"/>
    </row>
    <row r="7" spans="1:22" ht="19.5" thickBot="1" x14ac:dyDescent="0.35">
      <c r="A7" s="1"/>
    </row>
    <row r="8" spans="1:22" ht="15.75" thickBot="1" x14ac:dyDescent="0.3">
      <c r="B8" t="s">
        <v>156</v>
      </c>
      <c r="C8" s="126"/>
      <c r="D8" s="11" t="e">
        <f>VLOOKUP($C$8,'MFPRSI Supplemental Info 2017'!$A$6:$Y$56,2,FALSE)</f>
        <v>#N/A</v>
      </c>
      <c r="V8" s="33"/>
    </row>
    <row r="9" spans="1:22" x14ac:dyDescent="0.25">
      <c r="A9" s="2" t="s">
        <v>0</v>
      </c>
      <c r="K9" s="3"/>
      <c r="L9" s="3"/>
      <c r="M9" s="3" t="s">
        <v>1</v>
      </c>
      <c r="N9" s="3"/>
      <c r="O9" s="3" t="s">
        <v>1</v>
      </c>
      <c r="R9" s="33"/>
    </row>
    <row r="10" spans="1:22" x14ac:dyDescent="0.25">
      <c r="K10" s="3"/>
      <c r="L10" s="3"/>
      <c r="M10" s="3" t="s">
        <v>2</v>
      </c>
      <c r="N10" s="3"/>
      <c r="O10" s="3" t="s">
        <v>3</v>
      </c>
    </row>
    <row r="11" spans="1:22" ht="15.75" thickBot="1" x14ac:dyDescent="0.3">
      <c r="K11" s="4" t="s">
        <v>4</v>
      </c>
      <c r="L11" s="3"/>
      <c r="M11" s="4" t="s">
        <v>5</v>
      </c>
      <c r="N11" s="3"/>
      <c r="O11" s="4" t="s">
        <v>5</v>
      </c>
    </row>
    <row r="12" spans="1:22" ht="15.75" thickBot="1" x14ac:dyDescent="0.3">
      <c r="B12" t="s">
        <v>203</v>
      </c>
      <c r="K12" s="84">
        <f>'MFPRSI Supplemental Info 2017'!F57</f>
        <v>625260941</v>
      </c>
      <c r="L12" s="3"/>
      <c r="M12" s="5">
        <f>'MFPRSI Supplemental Info 2016'!O57+'MFPRSI Supplemental Info 2016'!P57+'MFPRSI Supplemental Info 2016'!Q57</f>
        <v>238296871</v>
      </c>
      <c r="N12" s="3"/>
      <c r="O12" s="5">
        <f>-('MFPRSI Supplemental Info 2016'!S57+'MFPRSI Supplemental Info 2016'!T57+'MFPRSI Supplemental Info 2016'!U57)</f>
        <v>94344455</v>
      </c>
    </row>
    <row r="13" spans="1:22" ht="15.75" thickBot="1" x14ac:dyDescent="0.3">
      <c r="G13" s="6" t="s">
        <v>6</v>
      </c>
      <c r="H13" s="6"/>
      <c r="I13" s="6" t="s">
        <v>7</v>
      </c>
      <c r="J13" s="6"/>
      <c r="K13" s="85" t="s">
        <v>77</v>
      </c>
      <c r="L13" s="3"/>
      <c r="M13" s="7"/>
      <c r="N13" s="3"/>
      <c r="O13" s="7"/>
    </row>
    <row r="14" spans="1:22" ht="15.75" thickBot="1" x14ac:dyDescent="0.3">
      <c r="B14" t="s">
        <v>8</v>
      </c>
      <c r="G14" s="82" t="e">
        <f>VLOOKUP($C$8,'MFPRSI Supplemental Info 2017'!$A$6:$Y$56,3,FALSE)</f>
        <v>#N/A</v>
      </c>
      <c r="H14" s="4"/>
      <c r="I14" s="7" t="e">
        <f>ROUND(K12*G14,0)</f>
        <v>#N/A</v>
      </c>
      <c r="J14" s="8"/>
      <c r="K14" s="84" t="e">
        <f>VLOOKUP($C$8,'MFPRSI Supplemental Info 2017'!$A$6:$Y$56,5,FALSE)</f>
        <v>#N/A</v>
      </c>
      <c r="L14" s="3"/>
      <c r="M14" s="5" t="e">
        <f>ROUND(M12*G14,0)</f>
        <v>#N/A</v>
      </c>
      <c r="N14" s="3"/>
      <c r="O14" s="5" t="e">
        <f>ROUND(G14*O12,0)</f>
        <v>#N/A</v>
      </c>
    </row>
    <row r="15" spans="1:22" ht="15.75" thickBot="1" x14ac:dyDescent="0.3">
      <c r="G15" s="83"/>
      <c r="H15" s="4"/>
      <c r="K15" s="85"/>
      <c r="L15" s="3"/>
      <c r="M15" s="7"/>
      <c r="N15" s="3"/>
      <c r="O15" s="7"/>
    </row>
    <row r="16" spans="1:22" ht="15.75" thickBot="1" x14ac:dyDescent="0.3">
      <c r="B16" t="s">
        <v>9</v>
      </c>
      <c r="G16" s="82" t="e">
        <f>VLOOKUP($C$8,'MFPRSI Supplemental Info 2017'!$A$6:$Y$56,4,FALSE)</f>
        <v>#N/A</v>
      </c>
      <c r="H16" s="4"/>
      <c r="I16" s="7" t="e">
        <f>ROUND(K12*G16,0)</f>
        <v>#N/A</v>
      </c>
      <c r="J16" s="8"/>
      <c r="K16" s="84" t="e">
        <f>VLOOKUP($C$8,'MFPRSI Supplemental Info 2017'!$A$6:$Y$56,6,FALSE)</f>
        <v>#N/A</v>
      </c>
      <c r="L16" s="3"/>
      <c r="M16" s="5" t="e">
        <f>ROUND(M12*G16,0)</f>
        <v>#N/A</v>
      </c>
      <c r="N16" s="3"/>
      <c r="O16" s="5" t="e">
        <f>ROUND(O12*G16,0)</f>
        <v>#N/A</v>
      </c>
    </row>
    <row r="17" spans="1:17" x14ac:dyDescent="0.25">
      <c r="H17" s="6"/>
      <c r="K17" s="7"/>
      <c r="L17" s="3"/>
      <c r="M17" s="7"/>
      <c r="N17" s="3"/>
      <c r="O17" s="7"/>
    </row>
    <row r="18" spans="1:17" ht="15.75" thickBot="1" x14ac:dyDescent="0.3">
      <c r="B18" t="s">
        <v>10</v>
      </c>
      <c r="H18" s="6"/>
      <c r="K18" s="9" t="e">
        <f>K16-K14</f>
        <v>#N/A</v>
      </c>
      <c r="L18" s="3"/>
      <c r="M18" s="9" t="e">
        <f>M16-M14</f>
        <v>#N/A</v>
      </c>
      <c r="N18" s="3"/>
      <c r="O18" s="9" t="e">
        <f>O16-O14</f>
        <v>#N/A</v>
      </c>
    </row>
    <row r="19" spans="1:17" ht="18" thickTop="1" x14ac:dyDescent="0.4">
      <c r="H19" s="6"/>
      <c r="K19" s="7"/>
      <c r="L19" s="3"/>
      <c r="M19" s="7"/>
      <c r="N19" s="3"/>
      <c r="O19" s="10"/>
    </row>
    <row r="20" spans="1:17" ht="15.75" thickBot="1" x14ac:dyDescent="0.3">
      <c r="B20" s="11" t="s">
        <v>11</v>
      </c>
      <c r="K20" s="7"/>
      <c r="L20" s="7"/>
      <c r="M20" s="9" t="e">
        <f>M18-O18-K18</f>
        <v>#N/A</v>
      </c>
      <c r="N20" s="3"/>
      <c r="O20" s="7"/>
    </row>
    <row r="21" spans="1:17" ht="15.75" thickTop="1" x14ac:dyDescent="0.25">
      <c r="B21" s="11"/>
      <c r="K21" s="7"/>
      <c r="L21" s="7"/>
      <c r="M21" s="12"/>
      <c r="N21" s="12"/>
      <c r="O21" s="7"/>
    </row>
    <row r="22" spans="1:17" ht="9.9499999999999993" customHeight="1" x14ac:dyDescent="0.25">
      <c r="B22" t="s">
        <v>12</v>
      </c>
      <c r="I22" s="13"/>
    </row>
    <row r="23" spans="1:17" x14ac:dyDescent="0.25">
      <c r="A23" s="11" t="s">
        <v>13</v>
      </c>
      <c r="C23" s="11"/>
      <c r="D23" s="11"/>
      <c r="E23" s="11"/>
      <c r="F23" s="11"/>
      <c r="G23" s="11"/>
      <c r="H23" s="11"/>
      <c r="I23" s="11"/>
      <c r="J23" s="11"/>
    </row>
    <row r="24" spans="1:17" x14ac:dyDescent="0.25">
      <c r="B24" s="14" t="s">
        <v>14</v>
      </c>
      <c r="C24" s="14"/>
      <c r="D24" s="14"/>
      <c r="E24" s="14"/>
      <c r="F24" s="14"/>
      <c r="G24" s="11"/>
      <c r="H24" s="11"/>
      <c r="I24" s="11"/>
      <c r="J24" s="11"/>
      <c r="M24" s="7"/>
      <c r="N24" s="7"/>
    </row>
    <row r="25" spans="1:17" ht="15.75" thickBot="1" x14ac:dyDescent="0.3">
      <c r="B25" s="11"/>
      <c r="C25" s="11"/>
      <c r="D25" s="11"/>
      <c r="E25" s="11"/>
      <c r="F25" s="11"/>
      <c r="G25" s="11"/>
      <c r="H25" s="11"/>
      <c r="I25" s="11"/>
      <c r="J25" s="11"/>
      <c r="N25" s="7"/>
    </row>
    <row r="26" spans="1:17" ht="15.75" thickBot="1" x14ac:dyDescent="0.3">
      <c r="B26" t="s">
        <v>73</v>
      </c>
      <c r="M26" s="84">
        <f>'MFPRSI Supplemental Info 2017'!H57</f>
        <v>73411165</v>
      </c>
      <c r="N26" s="15"/>
    </row>
    <row r="27" spans="1:17" x14ac:dyDescent="0.25">
      <c r="N27" s="15"/>
      <c r="P27" s="16"/>
      <c r="Q27" s="16"/>
    </row>
    <row r="28" spans="1:17" x14ac:dyDescent="0.25">
      <c r="B28" t="s">
        <v>15</v>
      </c>
      <c r="N28" s="15"/>
    </row>
    <row r="29" spans="1:17" x14ac:dyDescent="0.25">
      <c r="B29" t="s">
        <v>16</v>
      </c>
      <c r="D29" t="s">
        <v>17</v>
      </c>
      <c r="M29" s="17" t="e">
        <f>ROUND(M26*G16,0)</f>
        <v>#N/A</v>
      </c>
      <c r="N29" s="15"/>
    </row>
    <row r="30" spans="1:17" ht="15.75" thickBot="1" x14ac:dyDescent="0.3">
      <c r="N30" s="15"/>
    </row>
    <row r="31" spans="1:17" ht="15.75" thickBot="1" x14ac:dyDescent="0.3">
      <c r="B31" t="s">
        <v>74</v>
      </c>
      <c r="M31" s="84" t="e">
        <f>VLOOKUP($C$8,'MFPRSI Supplemental Info 2017'!$A$6:$Y$56,9,FALSE)</f>
        <v>#N/A</v>
      </c>
      <c r="N31" s="15"/>
    </row>
    <row r="32" spans="1:17" x14ac:dyDescent="0.25">
      <c r="N32" s="7"/>
    </row>
    <row r="33" spans="1:19" ht="15.75" thickBot="1" x14ac:dyDescent="0.3">
      <c r="B33" t="s">
        <v>18</v>
      </c>
      <c r="M33" s="9" t="e">
        <f>M29-M31</f>
        <v>#N/A</v>
      </c>
      <c r="N33" s="7"/>
    </row>
    <row r="34" spans="1:19" ht="15.75" thickTop="1" x14ac:dyDescent="0.25">
      <c r="N34" s="7"/>
    </row>
    <row r="35" spans="1:19" x14ac:dyDescent="0.25">
      <c r="N35" s="7"/>
    </row>
    <row r="36" spans="1:19" x14ac:dyDescent="0.25">
      <c r="A36" s="18" t="s">
        <v>19</v>
      </c>
      <c r="K36" s="131" t="s">
        <v>20</v>
      </c>
      <c r="L36" s="131"/>
      <c r="M36" s="131"/>
      <c r="N36" s="7"/>
      <c r="P36" s="14" t="s">
        <v>21</v>
      </c>
      <c r="Q36" s="14"/>
      <c r="R36" s="19"/>
    </row>
    <row r="37" spans="1:19" x14ac:dyDescent="0.25">
      <c r="K37" s="20">
        <v>42551</v>
      </c>
      <c r="L37" s="20"/>
      <c r="M37" s="20">
        <v>42916</v>
      </c>
      <c r="N37" s="7"/>
    </row>
    <row r="38" spans="1:19" x14ac:dyDescent="0.25">
      <c r="K38" s="22" t="e">
        <f>G14</f>
        <v>#N/A</v>
      </c>
      <c r="L38" s="21"/>
      <c r="M38" s="22" t="e">
        <f>G16</f>
        <v>#N/A</v>
      </c>
      <c r="N38" s="7"/>
      <c r="P38" s="23" t="s">
        <v>22</v>
      </c>
      <c r="Q38" s="23"/>
      <c r="R38" s="23" t="s">
        <v>23</v>
      </c>
    </row>
    <row r="39" spans="1:19" x14ac:dyDescent="0.25">
      <c r="K39" s="24" t="s">
        <v>24</v>
      </c>
      <c r="L39" s="24"/>
      <c r="M39" s="24" t="s">
        <v>25</v>
      </c>
      <c r="N39" s="7"/>
      <c r="P39" s="25" t="s">
        <v>26</v>
      </c>
      <c r="Q39" s="25"/>
      <c r="R39" s="25" t="s">
        <v>26</v>
      </c>
    </row>
    <row r="40" spans="1:19" ht="15.75" thickBot="1" x14ac:dyDescent="0.3">
      <c r="A40" s="8" t="s">
        <v>27</v>
      </c>
      <c r="D40" s="26"/>
      <c r="M40" s="23"/>
      <c r="N40" s="7"/>
      <c r="O40" s="23"/>
    </row>
    <row r="41" spans="1:19" ht="15.75" thickBot="1" x14ac:dyDescent="0.3">
      <c r="B41" t="s">
        <v>28</v>
      </c>
      <c r="K41" s="7" t="e">
        <f>ROUND(K38*'MFPRSI Supplemental Info 2016'!O57,0)</f>
        <v>#N/A</v>
      </c>
      <c r="M41" s="84" t="e">
        <f>VLOOKUP($C$8,'MFPRSI Supplemental Info 2017'!$A$6:$Y$56,15,FALSE)</f>
        <v>#N/A</v>
      </c>
      <c r="N41" s="15"/>
      <c r="P41" s="7" t="e">
        <f>IF(M41-K41&gt;0,M41-K41,0)</f>
        <v>#N/A</v>
      </c>
      <c r="Q41" s="15"/>
      <c r="R41" s="7" t="e">
        <f>IF(M41-K41&lt;0,K41-M41,0)</f>
        <v>#N/A</v>
      </c>
    </row>
    <row r="42" spans="1:19" ht="15.75" thickBot="1" x14ac:dyDescent="0.3">
      <c r="B42" t="s">
        <v>29</v>
      </c>
      <c r="K42" s="7" t="e">
        <f>ROUND(K38*'MFPRSI Supplemental Info 2016'!P57,0)</f>
        <v>#N/A</v>
      </c>
      <c r="M42" s="84" t="e">
        <f>VLOOKUP($C$8,'MFPRSI Supplemental Info 2017'!$A$6:$Y$56,16,FALSE)</f>
        <v>#N/A</v>
      </c>
      <c r="N42" s="15"/>
      <c r="P42" s="7" t="e">
        <f t="shared" ref="P42" si="0">IF(M42-K42&gt;0,M42-K42,0)</f>
        <v>#N/A</v>
      </c>
      <c r="Q42" s="27"/>
      <c r="R42" s="7" t="e">
        <f t="shared" ref="R42:R43" si="1">IF(M42-K42&lt;0,K42-M42,0)</f>
        <v>#N/A</v>
      </c>
    </row>
    <row r="43" spans="1:19" ht="15.75" thickBot="1" x14ac:dyDescent="0.3">
      <c r="B43" t="s">
        <v>67</v>
      </c>
      <c r="K43" s="7" t="e">
        <f>ROUND(K38*'MFPRSI Supplemental Info 2016'!Q57,0)</f>
        <v>#N/A</v>
      </c>
      <c r="M43" s="84" t="e">
        <f>VLOOKUP($C$8,'MFPRSI Supplemental Info 2017'!$A$6:$Y$56,17,FALSE)</f>
        <v>#N/A</v>
      </c>
      <c r="N43" s="15"/>
      <c r="P43" s="7" t="e">
        <f>IF(M43-K43&gt;0,M43-K43,0)</f>
        <v>#N/A</v>
      </c>
      <c r="Q43" s="27"/>
      <c r="R43" s="7" t="e">
        <f t="shared" si="1"/>
        <v>#N/A</v>
      </c>
    </row>
    <row r="44" spans="1:19" ht="15.75" thickBot="1" x14ac:dyDescent="0.3">
      <c r="A44" s="28" t="s">
        <v>30</v>
      </c>
      <c r="N44" s="15"/>
      <c r="P44" s="7"/>
      <c r="Q44" s="7"/>
      <c r="R44" s="7"/>
    </row>
    <row r="45" spans="1:19" ht="15.75" thickBot="1" x14ac:dyDescent="0.3">
      <c r="A45" s="28"/>
      <c r="B45" t="s">
        <v>28</v>
      </c>
      <c r="K45" s="7" t="e">
        <f>-ROUND(K38*'MFPRSI Supplemental Info 2016'!S57,0)</f>
        <v>#N/A</v>
      </c>
      <c r="M45" s="84" t="e">
        <f>-VLOOKUP($C$8,'MFPRSI Supplemental Info 2017'!$A$6:$Y$56,19,FALSE)</f>
        <v>#N/A</v>
      </c>
      <c r="N45" s="15"/>
      <c r="P45" s="7" t="e">
        <f>IF(M45-K45&lt;0,K45-M45,0)</f>
        <v>#N/A</v>
      </c>
      <c r="Q45" s="7"/>
      <c r="R45" s="7" t="e">
        <f>IF(M45-K45&gt;0,M45-K45,0)</f>
        <v>#N/A</v>
      </c>
      <c r="S45" s="3"/>
    </row>
    <row r="46" spans="1:19" ht="15.75" thickBot="1" x14ac:dyDescent="0.3">
      <c r="A46" s="28"/>
      <c r="B46" t="s">
        <v>29</v>
      </c>
      <c r="K46" s="7" t="e">
        <f>-ROUND(K38*'MFPRSI Supplemental Info 2016'!T57,0)</f>
        <v>#N/A</v>
      </c>
      <c r="M46" s="84" t="e">
        <f>-VLOOKUP($C$8,'MFPRSI Supplemental Info 2017'!$A$6:$Y$56,20,FALSE)</f>
        <v>#N/A</v>
      </c>
      <c r="N46" s="15"/>
      <c r="P46" s="7" t="e">
        <f t="shared" ref="P46:P47" si="2">IF(M46-K46&lt;0,K46-M46,0)</f>
        <v>#N/A</v>
      </c>
      <c r="Q46" s="7"/>
      <c r="R46" s="7" t="e">
        <f>IF(M46-K46&gt;0,M46-K46,0)</f>
        <v>#N/A</v>
      </c>
      <c r="S46" s="3"/>
    </row>
    <row r="47" spans="1:19" ht="15.75" thickBot="1" x14ac:dyDescent="0.3">
      <c r="B47" t="s">
        <v>31</v>
      </c>
      <c r="K47" s="7" t="e">
        <f>-ROUND(K38*'MFPRSI Supplemental Info 2016'!U57,0)</f>
        <v>#N/A</v>
      </c>
      <c r="M47" s="84" t="e">
        <f>-VLOOKUP($C$8,'MFPRSI Supplemental Info 2017'!$A$6:$Y$56,21,FALSE)</f>
        <v>#N/A</v>
      </c>
      <c r="N47" s="15"/>
      <c r="P47" s="7" t="e">
        <f t="shared" si="2"/>
        <v>#N/A</v>
      </c>
      <c r="Q47" s="7"/>
      <c r="R47" s="7" t="e">
        <f>IF(M47-K47&gt;0,M47-K47,0)</f>
        <v>#N/A</v>
      </c>
      <c r="S47" s="3"/>
    </row>
    <row r="48" spans="1:19" ht="15.75" thickBot="1" x14ac:dyDescent="0.3">
      <c r="M48" s="16"/>
      <c r="N48" s="15"/>
      <c r="P48" s="7"/>
      <c r="Q48" s="7"/>
      <c r="R48" s="7"/>
    </row>
    <row r="49" spans="1:22" ht="15.75" thickBot="1" x14ac:dyDescent="0.3">
      <c r="B49" t="s">
        <v>32</v>
      </c>
      <c r="K49" s="7" t="e">
        <f>K14</f>
        <v>#N/A</v>
      </c>
      <c r="L49" s="7"/>
      <c r="M49" s="84" t="e">
        <f>VLOOKUP($C$8,'MFPRSI Supplemental Info 2017'!$A$6:$Y$56,23,FALSE)</f>
        <v>#N/A</v>
      </c>
      <c r="N49" s="15"/>
      <c r="P49" s="7" t="e">
        <f t="shared" ref="P49" si="3">IF(M49-K49&lt;0,K49-M49,0)</f>
        <v>#N/A</v>
      </c>
      <c r="Q49" s="7"/>
      <c r="R49" s="7" t="e">
        <f>IF(M49-K49&gt;0,M49-K49,0)</f>
        <v>#N/A</v>
      </c>
      <c r="S49" s="3"/>
      <c r="U49" s="33" t="e">
        <f>P43-R49</f>
        <v>#N/A</v>
      </c>
    </row>
    <row r="50" spans="1:22" ht="15.75" thickBot="1" x14ac:dyDescent="0.3">
      <c r="M50" t="s">
        <v>76</v>
      </c>
      <c r="N50" s="15"/>
      <c r="P50" s="7"/>
      <c r="Q50" s="7"/>
      <c r="R50" s="7"/>
    </row>
    <row r="51" spans="1:22" ht="15.75" thickBot="1" x14ac:dyDescent="0.3">
      <c r="B51" t="s">
        <v>34</v>
      </c>
      <c r="E51" s="84">
        <f>'MFPRSI Supplemental Info 2017'!Y57</f>
        <v>89221778</v>
      </c>
      <c r="F51" s="11" t="s">
        <v>35</v>
      </c>
      <c r="G51" s="23" t="s">
        <v>36</v>
      </c>
      <c r="K51" s="29" t="e">
        <f>G16</f>
        <v>#N/A</v>
      </c>
      <c r="L51" s="30"/>
      <c r="M51" s="31" t="e">
        <f>ROUND(E51*K51,0)</f>
        <v>#N/A</v>
      </c>
      <c r="N51" s="15"/>
      <c r="P51" s="7"/>
      <c r="Q51" s="7"/>
      <c r="R51" s="7"/>
    </row>
    <row r="52" spans="1:22" x14ac:dyDescent="0.25">
      <c r="K52" t="s">
        <v>37</v>
      </c>
      <c r="M52" s="23" t="s">
        <v>7</v>
      </c>
      <c r="N52" s="15"/>
      <c r="O52" s="83"/>
      <c r="P52" s="162"/>
      <c r="Q52" s="83"/>
      <c r="R52" s="162"/>
      <c r="S52" s="83"/>
      <c r="T52" s="162"/>
      <c r="U52" s="83"/>
    </row>
    <row r="53" spans="1:22" ht="15.75" thickBot="1" x14ac:dyDescent="0.3">
      <c r="N53" s="15"/>
    </row>
    <row r="54" spans="1:22" ht="15.75" thickBot="1" x14ac:dyDescent="0.3">
      <c r="K54" t="s">
        <v>77</v>
      </c>
      <c r="M54" s="84" t="e">
        <f>VLOOKUP($C$8,'MFPRSI Supplemental Info 2017'!$A$6:$Y$56,25,FALSE)</f>
        <v>#N/A</v>
      </c>
      <c r="N54" s="15"/>
    </row>
    <row r="55" spans="1:22" x14ac:dyDescent="0.25">
      <c r="N55" s="7"/>
    </row>
    <row r="56" spans="1:22" x14ac:dyDescent="0.25">
      <c r="N56" s="7"/>
    </row>
    <row r="57" spans="1:22" x14ac:dyDescent="0.25">
      <c r="N57" s="7"/>
    </row>
    <row r="58" spans="1:22" x14ac:dyDescent="0.25">
      <c r="N58" s="7"/>
    </row>
    <row r="59" spans="1:22" x14ac:dyDescent="0.25">
      <c r="A59" s="2" t="s">
        <v>38</v>
      </c>
      <c r="N59" s="7"/>
    </row>
    <row r="60" spans="1:22" x14ac:dyDescent="0.25">
      <c r="K60" s="131" t="s">
        <v>20</v>
      </c>
      <c r="L60" s="131"/>
      <c r="M60" s="131"/>
      <c r="N60" s="7"/>
      <c r="P60" s="14" t="s">
        <v>21</v>
      </c>
      <c r="Q60" s="14"/>
      <c r="R60" s="19"/>
    </row>
    <row r="61" spans="1:22" x14ac:dyDescent="0.25">
      <c r="K61" s="20">
        <f>$K$37</f>
        <v>42551</v>
      </c>
      <c r="L61" s="20"/>
      <c r="M61" s="20">
        <f>$M$37</f>
        <v>42916</v>
      </c>
      <c r="N61" s="7"/>
    </row>
    <row r="62" spans="1:22" x14ac:dyDescent="0.25">
      <c r="I62" s="32" t="s">
        <v>39</v>
      </c>
      <c r="K62" s="22" t="e">
        <f>G14</f>
        <v>#N/A</v>
      </c>
      <c r="L62" s="22"/>
      <c r="M62" s="22" t="e">
        <f>M38</f>
        <v>#N/A</v>
      </c>
      <c r="N62" s="7"/>
      <c r="P62" s="23" t="s">
        <v>22</v>
      </c>
      <c r="Q62" s="23"/>
      <c r="R62" s="23" t="s">
        <v>23</v>
      </c>
      <c r="V62" s="104"/>
    </row>
    <row r="63" spans="1:22" x14ac:dyDescent="0.25">
      <c r="I63" s="14" t="s">
        <v>214</v>
      </c>
      <c r="K63" s="24" t="s">
        <v>24</v>
      </c>
      <c r="L63" s="24"/>
      <c r="M63" s="24" t="s">
        <v>25</v>
      </c>
      <c r="N63" s="7"/>
      <c r="P63" s="25" t="s">
        <v>26</v>
      </c>
      <c r="Q63" s="25"/>
      <c r="R63" s="25" t="s">
        <v>26</v>
      </c>
      <c r="V63" s="13"/>
    </row>
    <row r="64" spans="1:22" x14ac:dyDescent="0.25">
      <c r="N64" s="7"/>
    </row>
    <row r="65" spans="1:18" x14ac:dyDescent="0.25">
      <c r="B65" t="s">
        <v>40</v>
      </c>
      <c r="I65" s="7">
        <f>M12</f>
        <v>238296871</v>
      </c>
      <c r="K65" s="33" t="e">
        <f>I65*K62</f>
        <v>#N/A</v>
      </c>
      <c r="L65" s="33"/>
      <c r="M65" s="33" t="e">
        <f>I65*M62</f>
        <v>#N/A</v>
      </c>
      <c r="N65" s="7"/>
      <c r="P65" s="12" t="e">
        <f>IF(M65-K65&gt;0,M65-K65,0)</f>
        <v>#N/A</v>
      </c>
      <c r="Q65" s="34"/>
      <c r="R65" s="12" t="e">
        <f>IF(M65-K65&lt;0,K65-M65,0)</f>
        <v>#N/A</v>
      </c>
    </row>
    <row r="66" spans="1:18" x14ac:dyDescent="0.25">
      <c r="I66" s="7"/>
      <c r="K66" s="33"/>
      <c r="L66" s="33"/>
      <c r="M66" s="33"/>
      <c r="N66" s="7"/>
      <c r="P66" s="34"/>
      <c r="Q66" s="34"/>
    </row>
    <row r="67" spans="1:18" x14ac:dyDescent="0.25">
      <c r="B67" t="s">
        <v>41</v>
      </c>
      <c r="I67" s="7">
        <f>O12</f>
        <v>94344455</v>
      </c>
      <c r="K67" s="33" t="e">
        <f>I67*K62</f>
        <v>#N/A</v>
      </c>
      <c r="L67" s="33"/>
      <c r="M67" s="33" t="e">
        <f>I67*M62</f>
        <v>#N/A</v>
      </c>
      <c r="N67" s="7"/>
      <c r="P67" s="12" t="e">
        <f>IF(M67-K67&lt;0,K67-M67,0)</f>
        <v>#N/A</v>
      </c>
      <c r="Q67" s="34"/>
      <c r="R67" s="12" t="e">
        <f>IF(M67-K67&gt;0,M67-K67,0)</f>
        <v>#N/A</v>
      </c>
    </row>
    <row r="68" spans="1:18" x14ac:dyDescent="0.25">
      <c r="K68" s="33"/>
      <c r="L68" s="33"/>
      <c r="M68" s="33"/>
      <c r="N68" s="7"/>
      <c r="P68" s="34"/>
      <c r="Q68" s="34"/>
    </row>
    <row r="69" spans="1:18" x14ac:dyDescent="0.25">
      <c r="B69" t="s">
        <v>32</v>
      </c>
      <c r="I69" s="33">
        <f>K12</f>
        <v>625260941</v>
      </c>
      <c r="K69" s="33" t="e">
        <f>K14</f>
        <v>#N/A</v>
      </c>
      <c r="L69" s="33"/>
      <c r="M69" s="33" t="e">
        <f>I69*M62</f>
        <v>#N/A</v>
      </c>
      <c r="N69" s="7"/>
      <c r="P69" s="37" t="e">
        <f>IF(M69-K69&lt;0,K69-M69,0)</f>
        <v>#N/A</v>
      </c>
      <c r="Q69" s="81"/>
      <c r="R69" s="37" t="e">
        <f>IF(M69-K69&gt;0,M69-K69,0)</f>
        <v>#N/A</v>
      </c>
    </row>
    <row r="70" spans="1:18" x14ac:dyDescent="0.25">
      <c r="N70" s="7"/>
    </row>
    <row r="71" spans="1:18" x14ac:dyDescent="0.25">
      <c r="C71" t="s">
        <v>42</v>
      </c>
      <c r="N71" s="7"/>
      <c r="P71" s="12" t="e">
        <f>SUM(P65:P69)</f>
        <v>#N/A</v>
      </c>
      <c r="Q71" s="12"/>
      <c r="R71" s="12" t="e">
        <f>SUM(R65:R69)</f>
        <v>#N/A</v>
      </c>
    </row>
    <row r="73" spans="1:18" x14ac:dyDescent="0.25">
      <c r="C73" t="s">
        <v>43</v>
      </c>
      <c r="P73" s="36" t="e">
        <f>IF(+R71-P71&gt;0,+R71-P71,0)</f>
        <v>#N/A</v>
      </c>
      <c r="Q73" s="36"/>
      <c r="R73" s="7" t="e">
        <f>IF(+R71-P71&lt;0,+P71-R71,0)</f>
        <v>#N/A</v>
      </c>
    </row>
    <row r="74" spans="1:18" x14ac:dyDescent="0.25">
      <c r="C74" t="s">
        <v>44</v>
      </c>
      <c r="P74" s="37"/>
      <c r="Q74" s="37"/>
      <c r="R74" s="37"/>
    </row>
    <row r="75" spans="1:18" x14ac:dyDescent="0.25">
      <c r="P75" s="7"/>
      <c r="Q75" s="7"/>
      <c r="R75" s="7"/>
    </row>
    <row r="76" spans="1:18" ht="15.75" thickBot="1" x14ac:dyDescent="0.3">
      <c r="C76" t="s">
        <v>45</v>
      </c>
      <c r="P76" s="31" t="e">
        <f>P71+P73</f>
        <v>#N/A</v>
      </c>
      <c r="Q76" s="31"/>
      <c r="R76" s="31" t="e">
        <f>R71+R73</f>
        <v>#N/A</v>
      </c>
    </row>
    <row r="77" spans="1:18" ht="15.75" thickTop="1" x14ac:dyDescent="0.25">
      <c r="M77" s="38"/>
    </row>
    <row r="78" spans="1:18" x14ac:dyDescent="0.25">
      <c r="K78" s="3" t="s">
        <v>46</v>
      </c>
      <c r="L78" s="3"/>
    </row>
    <row r="79" spans="1:18" x14ac:dyDescent="0.25">
      <c r="A79" s="2" t="s">
        <v>47</v>
      </c>
      <c r="K79" s="3" t="s">
        <v>204</v>
      </c>
      <c r="L79" s="3"/>
      <c r="M79" s="3" t="s">
        <v>48</v>
      </c>
      <c r="N79" s="3"/>
    </row>
    <row r="80" spans="1:18" x14ac:dyDescent="0.25">
      <c r="K80" s="39" t="e">
        <f>M38</f>
        <v>#N/A</v>
      </c>
      <c r="L80" s="39"/>
      <c r="M80" s="3" t="s">
        <v>49</v>
      </c>
      <c r="N80" s="3"/>
      <c r="P80" s="3" t="s">
        <v>50</v>
      </c>
      <c r="Q80" s="3"/>
    </row>
    <row r="81" spans="1:17" ht="15.75" thickBot="1" x14ac:dyDescent="0.3">
      <c r="I81" s="14" t="s">
        <v>51</v>
      </c>
      <c r="K81" s="24" t="s">
        <v>24</v>
      </c>
      <c r="L81" s="24"/>
      <c r="M81" s="24" t="s">
        <v>25</v>
      </c>
      <c r="N81" s="3"/>
      <c r="P81" s="24" t="s">
        <v>26</v>
      </c>
      <c r="Q81" s="4"/>
    </row>
    <row r="82" spans="1:17" ht="15.75" thickBot="1" x14ac:dyDescent="0.3">
      <c r="B82" t="s">
        <v>75</v>
      </c>
      <c r="I82" s="84">
        <f>M26</f>
        <v>73411165</v>
      </c>
      <c r="K82" s="33" t="e">
        <f>I82*K80</f>
        <v>#N/A</v>
      </c>
      <c r="L82" s="33"/>
      <c r="M82" s="84" t="e">
        <f>M31</f>
        <v>#N/A</v>
      </c>
      <c r="N82" s="3"/>
      <c r="P82" s="33" t="e">
        <f>M82-K82</f>
        <v>#N/A</v>
      </c>
      <c r="Q82" s="33"/>
    </row>
    <row r="86" spans="1:17" x14ac:dyDescent="0.25">
      <c r="A86" s="11" t="s">
        <v>52</v>
      </c>
      <c r="B86" s="11"/>
      <c r="C86" s="11"/>
      <c r="D86" s="11"/>
      <c r="E86" s="11"/>
      <c r="F86" s="11"/>
      <c r="G86" s="11"/>
      <c r="H86" s="11"/>
      <c r="I86" s="3" t="s">
        <v>27</v>
      </c>
      <c r="J86" s="3"/>
      <c r="K86" s="94" t="s">
        <v>193</v>
      </c>
      <c r="L86" s="3"/>
      <c r="M86" s="3" t="s">
        <v>53</v>
      </c>
      <c r="N86" s="3"/>
    </row>
    <row r="87" spans="1:17" x14ac:dyDescent="0.25">
      <c r="A87" s="32" t="s">
        <v>12</v>
      </c>
      <c r="B87" s="18" t="s">
        <v>54</v>
      </c>
      <c r="C87" s="32"/>
      <c r="D87" s="32"/>
      <c r="E87" s="32"/>
      <c r="F87" s="32"/>
      <c r="G87" s="32"/>
      <c r="H87" s="32"/>
      <c r="I87" s="24" t="s">
        <v>55</v>
      </c>
      <c r="J87" s="24"/>
      <c r="K87" s="95" t="s">
        <v>194</v>
      </c>
      <c r="L87" s="24"/>
      <c r="M87" s="24" t="s">
        <v>56</v>
      </c>
      <c r="N87" s="4"/>
    </row>
    <row r="90" spans="1:17" x14ac:dyDescent="0.25">
      <c r="B90" t="s">
        <v>57</v>
      </c>
      <c r="I90" s="17" t="e">
        <f>K90-M90</f>
        <v>#N/A</v>
      </c>
      <c r="J90" s="17"/>
      <c r="K90" s="17" t="e">
        <f>P73-R73</f>
        <v>#N/A</v>
      </c>
      <c r="L90" s="17"/>
      <c r="M90" s="101" t="e">
        <f>IF(P73&gt;0,P73/I98,-R73/I98)</f>
        <v>#N/A</v>
      </c>
      <c r="N90" s="17"/>
    </row>
    <row r="91" spans="1:17" x14ac:dyDescent="0.25">
      <c r="I91" s="17"/>
      <c r="J91" s="17"/>
      <c r="K91" s="17"/>
      <c r="L91" s="17"/>
    </row>
    <row r="92" spans="1:17" x14ac:dyDescent="0.25">
      <c r="B92" t="s">
        <v>58</v>
      </c>
      <c r="I92" s="35" t="e">
        <f>P82-M92</f>
        <v>#N/A</v>
      </c>
      <c r="J92" s="35"/>
      <c r="K92" s="35" t="e">
        <f>P82</f>
        <v>#N/A</v>
      </c>
      <c r="L92" s="35"/>
      <c r="M92" s="35" t="e">
        <f>P82/I98</f>
        <v>#N/A</v>
      </c>
      <c r="N92" s="40"/>
    </row>
    <row r="93" spans="1:17" x14ac:dyDescent="0.25">
      <c r="I93" s="17"/>
      <c r="J93" s="17"/>
      <c r="K93" s="17"/>
      <c r="L93" s="17"/>
    </row>
    <row r="94" spans="1:17" ht="15.75" thickBot="1" x14ac:dyDescent="0.3">
      <c r="C94" t="s">
        <v>59</v>
      </c>
      <c r="I94" s="41" t="e">
        <f>+I90+I92</f>
        <v>#N/A</v>
      </c>
      <c r="J94" s="42"/>
      <c r="K94" s="41" t="e">
        <f>K90+K92</f>
        <v>#N/A</v>
      </c>
      <c r="L94" s="41"/>
      <c r="M94" s="41" t="e">
        <f>M90+M92</f>
        <v>#N/A</v>
      </c>
      <c r="N94" s="43"/>
    </row>
    <row r="95" spans="1:17" ht="15.75" thickTop="1" x14ac:dyDescent="0.25">
      <c r="I95" s="44"/>
      <c r="J95" s="38"/>
      <c r="K95" s="44"/>
      <c r="L95" s="44"/>
      <c r="M95" s="44"/>
      <c r="N95" s="44"/>
    </row>
    <row r="96" spans="1:17" x14ac:dyDescent="0.25">
      <c r="I96" s="45"/>
      <c r="J96" s="38"/>
      <c r="K96" s="44"/>
      <c r="L96" s="44"/>
      <c r="M96" s="45"/>
      <c r="N96" s="45"/>
    </row>
    <row r="97" spans="1:21" ht="15.75" thickBot="1" x14ac:dyDescent="0.3">
      <c r="I97" s="44"/>
      <c r="J97" s="38"/>
      <c r="K97" s="44"/>
      <c r="L97" s="44"/>
      <c r="M97" s="44"/>
      <c r="N97" s="44"/>
    </row>
    <row r="98" spans="1:21" ht="15.75" thickBot="1" x14ac:dyDescent="0.3">
      <c r="B98" t="s">
        <v>60</v>
      </c>
      <c r="I98" s="86">
        <f>'MFPRSI Supplemental Info 2017'!U59</f>
        <v>5.4</v>
      </c>
      <c r="J98" s="38"/>
      <c r="K98" s="44" t="s">
        <v>61</v>
      </c>
      <c r="L98" s="44"/>
      <c r="M98" s="44"/>
      <c r="N98" s="44"/>
    </row>
    <row r="99" spans="1:21" x14ac:dyDescent="0.25">
      <c r="I99" s="44"/>
      <c r="J99" s="38"/>
      <c r="K99" s="44"/>
      <c r="L99" s="44"/>
      <c r="M99" s="44"/>
      <c r="N99" s="44"/>
    </row>
    <row r="100" spans="1:21" x14ac:dyDescent="0.25">
      <c r="I100" s="44"/>
      <c r="J100" s="38"/>
      <c r="K100" s="44"/>
      <c r="L100" s="44"/>
      <c r="M100" s="44"/>
      <c r="N100" s="44"/>
    </row>
    <row r="101" spans="1:21" x14ac:dyDescent="0.25">
      <c r="I101" s="44"/>
      <c r="J101" s="38"/>
      <c r="K101" s="44"/>
      <c r="L101" s="44"/>
      <c r="M101" s="44"/>
      <c r="N101" s="44"/>
    </row>
    <row r="102" spans="1:21" x14ac:dyDescent="0.25">
      <c r="I102" s="44"/>
      <c r="J102" s="38"/>
      <c r="K102" s="44"/>
      <c r="L102" s="44"/>
      <c r="M102" s="44"/>
      <c r="N102" s="44"/>
    </row>
    <row r="105" spans="1:21" s="2" customFormat="1" x14ac:dyDescent="0.25">
      <c r="A105" s="2" t="s">
        <v>205</v>
      </c>
    </row>
    <row r="106" spans="1:21" x14ac:dyDescent="0.25">
      <c r="O106" s="38"/>
      <c r="P106" s="38"/>
      <c r="Q106" s="38"/>
      <c r="R106" s="38"/>
      <c r="S106" s="38"/>
      <c r="T106" s="38"/>
      <c r="U106" s="38"/>
    </row>
    <row r="107" spans="1:21" ht="15.75" thickBot="1" x14ac:dyDescent="0.3">
      <c r="I107" s="46" t="s">
        <v>62</v>
      </c>
      <c r="J107" s="47"/>
      <c r="K107" s="46" t="s">
        <v>63</v>
      </c>
      <c r="L107" s="48"/>
      <c r="O107" s="6"/>
      <c r="P107" s="6"/>
      <c r="Q107" s="6"/>
      <c r="R107" s="6"/>
      <c r="S107" s="6"/>
      <c r="T107" s="6"/>
      <c r="U107" s="38"/>
    </row>
    <row r="108" spans="1:21" ht="15.75" thickTop="1" x14ac:dyDescent="0.25">
      <c r="A108" t="s">
        <v>27</v>
      </c>
      <c r="I108" s="48"/>
      <c r="J108" s="47"/>
      <c r="K108" s="48"/>
      <c r="L108" s="48"/>
      <c r="O108" s="38"/>
      <c r="P108" s="38"/>
      <c r="Q108" s="38"/>
      <c r="R108" s="38"/>
      <c r="S108" s="38"/>
      <c r="T108" s="38"/>
      <c r="U108" s="38"/>
    </row>
    <row r="109" spans="1:21" x14ac:dyDescent="0.25">
      <c r="B109" t="s">
        <v>28</v>
      </c>
      <c r="I109" s="7" t="e">
        <f>P41</f>
        <v>#N/A</v>
      </c>
      <c r="J109" s="27"/>
      <c r="K109" s="7" t="e">
        <f t="shared" ref="K109:K111" si="4">R41</f>
        <v>#N/A</v>
      </c>
      <c r="L109" s="16"/>
      <c r="O109" s="38"/>
      <c r="P109" s="38"/>
      <c r="Q109" s="38"/>
      <c r="R109" s="38"/>
      <c r="S109" s="38"/>
      <c r="T109" s="38"/>
      <c r="U109" s="38"/>
    </row>
    <row r="110" spans="1:21" x14ac:dyDescent="0.25">
      <c r="B110" t="s">
        <v>29</v>
      </c>
      <c r="I110" s="49" t="e">
        <f>+P42</f>
        <v>#N/A</v>
      </c>
      <c r="J110" s="3"/>
      <c r="K110" s="49" t="e">
        <f t="shared" si="4"/>
        <v>#N/A</v>
      </c>
      <c r="O110" s="38"/>
      <c r="P110" s="38"/>
      <c r="Q110" s="38"/>
      <c r="R110" s="38"/>
      <c r="S110" s="38"/>
      <c r="T110" s="38"/>
      <c r="U110" s="38"/>
    </row>
    <row r="111" spans="1:21" x14ac:dyDescent="0.25">
      <c r="B111" t="s">
        <v>67</v>
      </c>
      <c r="I111" s="49" t="e">
        <f>+P43</f>
        <v>#N/A</v>
      </c>
      <c r="J111" s="3"/>
      <c r="K111" s="49" t="e">
        <f t="shared" si="4"/>
        <v>#N/A</v>
      </c>
      <c r="M111" t="s">
        <v>197</v>
      </c>
    </row>
    <row r="112" spans="1:21" x14ac:dyDescent="0.25">
      <c r="B112" t="s">
        <v>199</v>
      </c>
      <c r="I112" s="49" t="e">
        <f>IF(I94&gt;0,I94,0)</f>
        <v>#N/A</v>
      </c>
      <c r="J112" s="3"/>
      <c r="K112" s="49">
        <v>0</v>
      </c>
    </row>
    <row r="113" spans="1:20" x14ac:dyDescent="0.25">
      <c r="A113" t="s">
        <v>64</v>
      </c>
      <c r="I113" s="49"/>
      <c r="J113" s="3"/>
    </row>
    <row r="114" spans="1:20" x14ac:dyDescent="0.25">
      <c r="B114" t="s">
        <v>65</v>
      </c>
      <c r="I114" s="17" t="e">
        <f>M54</f>
        <v>#N/A</v>
      </c>
      <c r="J114" s="50"/>
      <c r="K114" s="17"/>
      <c r="L114" s="17"/>
      <c r="O114" s="17"/>
      <c r="P114" s="17"/>
      <c r="Q114" s="17"/>
      <c r="R114" s="17"/>
      <c r="S114" s="17"/>
      <c r="T114" s="17"/>
    </row>
    <row r="115" spans="1:20" x14ac:dyDescent="0.25">
      <c r="B115" t="s">
        <v>66</v>
      </c>
      <c r="I115" s="17" t="e">
        <f>IF(M94&gt;0,M94,0)</f>
        <v>#N/A</v>
      </c>
      <c r="J115" s="50"/>
      <c r="K115" s="17" t="e">
        <f>IF(M94&lt;0,-M94,0)</f>
        <v>#N/A</v>
      </c>
      <c r="L115" s="17"/>
    </row>
    <row r="116" spans="1:20" x14ac:dyDescent="0.25">
      <c r="B116" s="103" t="s">
        <v>72</v>
      </c>
      <c r="C116" s="103"/>
      <c r="I116" s="127"/>
      <c r="J116" s="128"/>
      <c r="K116" s="127"/>
      <c r="L116" s="17"/>
    </row>
    <row r="117" spans="1:20" x14ac:dyDescent="0.25">
      <c r="A117" t="s">
        <v>30</v>
      </c>
      <c r="I117" s="17"/>
      <c r="J117" s="50"/>
      <c r="K117" s="17"/>
      <c r="L117" s="17"/>
    </row>
    <row r="118" spans="1:20" x14ac:dyDescent="0.25">
      <c r="B118" t="s">
        <v>28</v>
      </c>
      <c r="I118" s="17" t="e">
        <f>P45</f>
        <v>#N/A</v>
      </c>
      <c r="J118" s="50"/>
      <c r="K118" s="17" t="e">
        <f>R45</f>
        <v>#N/A</v>
      </c>
      <c r="L118" s="50"/>
    </row>
    <row r="119" spans="1:20" x14ac:dyDescent="0.25">
      <c r="B119" t="s">
        <v>29</v>
      </c>
      <c r="I119" s="17" t="e">
        <f>P46</f>
        <v>#N/A</v>
      </c>
      <c r="J119" s="50"/>
      <c r="K119" s="17" t="e">
        <f>R46</f>
        <v>#N/A</v>
      </c>
      <c r="L119" s="50"/>
    </row>
    <row r="120" spans="1:20" x14ac:dyDescent="0.25">
      <c r="B120" t="s">
        <v>67</v>
      </c>
      <c r="I120" s="17" t="e">
        <f>P47</f>
        <v>#N/A</v>
      </c>
      <c r="J120" s="17"/>
      <c r="K120" s="17" t="e">
        <f>R47</f>
        <v>#N/A</v>
      </c>
      <c r="L120" s="50"/>
      <c r="M120" t="s">
        <v>197</v>
      </c>
    </row>
    <row r="121" spans="1:20" x14ac:dyDescent="0.25">
      <c r="B121" t="s">
        <v>198</v>
      </c>
      <c r="I121" s="49">
        <v>0</v>
      </c>
      <c r="J121" s="3"/>
      <c r="K121" s="17" t="e">
        <f>IF(I94&lt;0,-I94,0)</f>
        <v>#N/A</v>
      </c>
    </row>
    <row r="122" spans="1:20" x14ac:dyDescent="0.25">
      <c r="B122" t="s">
        <v>68</v>
      </c>
      <c r="I122" s="17"/>
      <c r="J122" s="17"/>
      <c r="K122" s="17"/>
      <c r="L122" s="17"/>
    </row>
    <row r="123" spans="1:20" x14ac:dyDescent="0.25">
      <c r="B123" t="s">
        <v>210</v>
      </c>
      <c r="I123" s="17">
        <f>K31</f>
        <v>0</v>
      </c>
      <c r="J123" s="17"/>
      <c r="K123" s="17" t="e">
        <f>M31</f>
        <v>#N/A</v>
      </c>
      <c r="L123" s="50"/>
    </row>
    <row r="124" spans="1:20" x14ac:dyDescent="0.25">
      <c r="I124" s="17"/>
      <c r="J124" s="17"/>
      <c r="K124" s="17"/>
      <c r="L124" s="17"/>
    </row>
    <row r="125" spans="1:20" x14ac:dyDescent="0.25">
      <c r="B125" t="s">
        <v>32</v>
      </c>
      <c r="I125" s="17" t="e">
        <f>P49</f>
        <v>#N/A</v>
      </c>
      <c r="J125" s="50" t="s">
        <v>33</v>
      </c>
      <c r="K125" s="17" t="e">
        <f>R49</f>
        <v>#N/A</v>
      </c>
      <c r="L125" s="17"/>
    </row>
    <row r="126" spans="1:20" ht="15.75" thickBot="1" x14ac:dyDescent="0.3">
      <c r="E126" t="s">
        <v>69</v>
      </c>
      <c r="I126" s="51" t="e">
        <f>SUM(I109:I125)</f>
        <v>#N/A</v>
      </c>
      <c r="J126" s="52"/>
      <c r="K126" s="51" t="e">
        <f>SUM(K109:K125)</f>
        <v>#N/A</v>
      </c>
      <c r="L126" s="53"/>
    </row>
    <row r="127" spans="1:20" ht="15.75" thickTop="1" x14ac:dyDescent="0.25"/>
    <row r="128" spans="1:20" ht="15.75" thickBot="1" x14ac:dyDescent="0.3">
      <c r="G128" t="s">
        <v>70</v>
      </c>
      <c r="K128" s="31" t="e">
        <f>I126-K126</f>
        <v>#N/A</v>
      </c>
      <c r="L128" s="12"/>
      <c r="M128" s="13"/>
    </row>
    <row r="129" spans="1:15" ht="15.75" thickTop="1" x14ac:dyDescent="0.25"/>
    <row r="130" spans="1:15" x14ac:dyDescent="0.25">
      <c r="B130" t="s">
        <v>206</v>
      </c>
    </row>
    <row r="131" spans="1:15" x14ac:dyDescent="0.25">
      <c r="B131" t="s">
        <v>207</v>
      </c>
    </row>
    <row r="133" spans="1:15" x14ac:dyDescent="0.25">
      <c r="A133" s="2" t="s">
        <v>208</v>
      </c>
    </row>
    <row r="134" spans="1:15" ht="18.75" customHeight="1" x14ac:dyDescent="0.25">
      <c r="A134" s="141" t="s">
        <v>162</v>
      </c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3"/>
    </row>
    <row r="135" spans="1:15" ht="18.75" customHeight="1" x14ac:dyDescent="0.25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6"/>
    </row>
    <row r="137" spans="1:15" x14ac:dyDescent="0.25">
      <c r="B137" t="s">
        <v>71</v>
      </c>
      <c r="I137" s="129"/>
      <c r="J137" s="55"/>
      <c r="K137" s="55"/>
      <c r="L137" s="55"/>
    </row>
    <row r="138" spans="1:15" x14ac:dyDescent="0.25">
      <c r="I138" s="55"/>
      <c r="J138" s="55"/>
      <c r="K138" s="55"/>
      <c r="L138" s="55"/>
    </row>
    <row r="139" spans="1:15" x14ac:dyDescent="0.25">
      <c r="B139" t="s">
        <v>56</v>
      </c>
      <c r="I139" s="55"/>
      <c r="J139" s="55"/>
      <c r="K139" s="129"/>
      <c r="L139" s="54"/>
    </row>
    <row r="141" spans="1:15" x14ac:dyDescent="0.25">
      <c r="B141" t="s">
        <v>209</v>
      </c>
    </row>
    <row r="142" spans="1:15" x14ac:dyDescent="0.25">
      <c r="B142" t="s">
        <v>212</v>
      </c>
    </row>
    <row r="145" spans="1:15" x14ac:dyDescent="0.25">
      <c r="A145" t="s">
        <v>191</v>
      </c>
      <c r="I145" s="17">
        <f>IF(Amort!K18-Amort!K15-Amort!K30+Amort!K25&gt;0,Amort!K18-Amort!K15-Amort!K30+Amort!K25,0)</f>
        <v>0</v>
      </c>
      <c r="J145" s="17"/>
      <c r="K145" s="17">
        <f>IF(Amort!K30-Amort!K25-Amort!K18+Amort!K15&gt;0,Amort!K30-Amort!K25-Amort!K18+Amort!K15,0)</f>
        <v>0</v>
      </c>
    </row>
    <row r="146" spans="1:15" x14ac:dyDescent="0.25">
      <c r="I146" s="17"/>
      <c r="J146" s="17"/>
      <c r="K146" s="17"/>
    </row>
    <row r="147" spans="1:15" x14ac:dyDescent="0.25">
      <c r="B147" t="s">
        <v>56</v>
      </c>
      <c r="I147" s="17">
        <f>K145</f>
        <v>0</v>
      </c>
      <c r="J147" s="17"/>
      <c r="K147" s="17">
        <f>I145</f>
        <v>0</v>
      </c>
    </row>
    <row r="149" spans="1:15" x14ac:dyDescent="0.25">
      <c r="B149" t="s">
        <v>190</v>
      </c>
    </row>
    <row r="150" spans="1:15" x14ac:dyDescent="0.25">
      <c r="B150" t="s">
        <v>213</v>
      </c>
    </row>
    <row r="152" spans="1:15" ht="30.75" customHeight="1" x14ac:dyDescent="0.25">
      <c r="A152" s="147" t="s">
        <v>201</v>
      </c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9"/>
    </row>
    <row r="154" spans="1:15" x14ac:dyDescent="0.25">
      <c r="A154" t="s">
        <v>200</v>
      </c>
      <c r="I154" s="129"/>
      <c r="J154" s="55"/>
      <c r="K154" s="55"/>
    </row>
    <row r="155" spans="1:15" x14ac:dyDescent="0.25">
      <c r="I155" s="55"/>
      <c r="J155" s="55"/>
      <c r="K155" s="55"/>
    </row>
    <row r="156" spans="1:15" x14ac:dyDescent="0.25">
      <c r="B156" t="s">
        <v>202</v>
      </c>
      <c r="I156" s="55"/>
      <c r="J156" s="55"/>
      <c r="K156" s="129"/>
    </row>
  </sheetData>
  <mergeCells count="5">
    <mergeCell ref="K36:M36"/>
    <mergeCell ref="K60:M60"/>
    <mergeCell ref="A4:O6"/>
    <mergeCell ref="A134:O135"/>
    <mergeCell ref="A152:O152"/>
  </mergeCells>
  <pageMargins left="0.51" right="0.25" top="0.75" bottom="0.25" header="0.3" footer="0.5"/>
  <pageSetup scale="65" orientation="landscape" r:id="rId1"/>
  <rowBreaks count="2" manualBreakCount="2">
    <brk id="54" max="19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1"/>
  <sheetViews>
    <sheetView workbookViewId="0">
      <selection activeCell="H12" sqref="H12"/>
    </sheetView>
  </sheetViews>
  <sheetFormatPr defaultRowHeight="15" x14ac:dyDescent="0.25"/>
  <cols>
    <col min="1" max="2" width="3.7109375" customWidth="1"/>
    <col min="4" max="4" width="11" bestFit="1" customWidth="1"/>
    <col min="7" max="11" width="14.7109375" customWidth="1"/>
    <col min="12" max="12" width="16" bestFit="1" customWidth="1"/>
    <col min="13" max="14" width="14.7109375" customWidth="1"/>
    <col min="15" max="17" width="16" bestFit="1" customWidth="1"/>
  </cols>
  <sheetData>
    <row r="1" spans="1:17" ht="15.75" x14ac:dyDescent="0.25">
      <c r="A1" s="87" t="s">
        <v>195</v>
      </c>
    </row>
    <row r="3" spans="1:17" x14ac:dyDescent="0.25">
      <c r="B3" s="11" t="s">
        <v>163</v>
      </c>
      <c r="C3" s="11"/>
      <c r="D3" s="11"/>
      <c r="E3" s="11"/>
      <c r="F3" s="11"/>
      <c r="G3" s="11"/>
      <c r="H3" s="11"/>
      <c r="I3" s="11" t="s">
        <v>164</v>
      </c>
      <c r="J3" s="11"/>
      <c r="K3" s="11"/>
    </row>
    <row r="4" spans="1:17" x14ac:dyDescent="0.25">
      <c r="B4" s="11" t="s">
        <v>165</v>
      </c>
    </row>
    <row r="5" spans="1:17" ht="18.75" customHeight="1" x14ac:dyDescent="0.25">
      <c r="A5" s="151" t="s">
        <v>215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3"/>
    </row>
    <row r="6" spans="1:17" ht="18.75" customHeight="1" x14ac:dyDescent="0.25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6"/>
    </row>
    <row r="9" spans="1:17" x14ac:dyDescent="0.25">
      <c r="F9" s="23" t="s">
        <v>166</v>
      </c>
      <c r="G9" s="23" t="s">
        <v>167</v>
      </c>
      <c r="H9" s="23" t="s">
        <v>168</v>
      </c>
      <c r="I9" s="157" t="s">
        <v>169</v>
      </c>
      <c r="J9" s="157"/>
      <c r="K9" s="157"/>
      <c r="L9" s="157"/>
      <c r="M9" s="157"/>
      <c r="N9" s="157"/>
      <c r="O9" s="157"/>
      <c r="P9" s="157"/>
      <c r="Q9" s="157"/>
    </row>
    <row r="10" spans="1:17" x14ac:dyDescent="0.25">
      <c r="F10" s="25" t="s">
        <v>170</v>
      </c>
      <c r="G10" s="25" t="s">
        <v>171</v>
      </c>
      <c r="H10" s="25" t="s">
        <v>170</v>
      </c>
      <c r="I10" s="19">
        <v>2015</v>
      </c>
      <c r="J10" s="19">
        <v>2016</v>
      </c>
      <c r="K10" s="19">
        <v>2017</v>
      </c>
      <c r="L10" s="19">
        <v>2018</v>
      </c>
      <c r="M10" s="19">
        <v>2019</v>
      </c>
      <c r="N10" s="19">
        <v>2020</v>
      </c>
      <c r="O10" s="19">
        <v>2021</v>
      </c>
      <c r="P10" s="19">
        <v>2022</v>
      </c>
      <c r="Q10" s="19">
        <v>2023</v>
      </c>
    </row>
    <row r="11" spans="1:17" x14ac:dyDescent="0.25">
      <c r="B11" t="s">
        <v>172</v>
      </c>
    </row>
    <row r="12" spans="1:17" x14ac:dyDescent="0.25">
      <c r="F12">
        <v>2015</v>
      </c>
      <c r="G12" s="102">
        <f>'MFPRSI Supplemental Info 2014'!U59</f>
        <v>5.6</v>
      </c>
      <c r="H12" s="130"/>
      <c r="I12" s="7">
        <f>ROUND(H12/G12,0)</f>
        <v>0</v>
      </c>
      <c r="J12" s="7">
        <f>ROUND(H12/G12,0)</f>
        <v>0</v>
      </c>
      <c r="K12" s="7">
        <f>ROUND(H12/G12,0)</f>
        <v>0</v>
      </c>
      <c r="L12" s="7">
        <f>ROUND(H12/G12,0)</f>
        <v>0</v>
      </c>
      <c r="M12" s="7">
        <f>ROUND(H12/G12,0)</f>
        <v>0</v>
      </c>
      <c r="N12" s="7">
        <f>$H12-I12-J12-K12-L12-M12</f>
        <v>0</v>
      </c>
      <c r="O12" s="7"/>
      <c r="P12" s="7"/>
      <c r="Q12" s="7"/>
    </row>
    <row r="13" spans="1:17" x14ac:dyDescent="0.25">
      <c r="F13">
        <v>2016</v>
      </c>
      <c r="G13" s="102">
        <f>'MFPRSI Supplemental Info 2015'!U59</f>
        <v>5.6</v>
      </c>
      <c r="H13" s="130"/>
      <c r="I13" s="7"/>
      <c r="J13" s="7">
        <f>ROUND(H13/G13,0)</f>
        <v>0</v>
      </c>
      <c r="K13" s="7">
        <f>ROUND(H13/G13,0)</f>
        <v>0</v>
      </c>
      <c r="L13" s="7">
        <f>ROUND(H13/G13,0)</f>
        <v>0</v>
      </c>
      <c r="M13" s="7">
        <f>ROUND(H13/G13,0)</f>
        <v>0</v>
      </c>
      <c r="N13" s="7">
        <f>ROUND(H13/G13,0)</f>
        <v>0</v>
      </c>
      <c r="O13" s="7">
        <f>$H13-J13-K13-L13-M13-N13</f>
        <v>0</v>
      </c>
      <c r="P13" s="7"/>
      <c r="Q13" s="7"/>
    </row>
    <row r="14" spans="1:17" x14ac:dyDescent="0.25">
      <c r="F14">
        <v>2017</v>
      </c>
      <c r="G14" s="102">
        <f>'MFPRSI Supplemental Info 2016'!U59</f>
        <v>5.5</v>
      </c>
      <c r="H14" s="130"/>
      <c r="I14" s="7"/>
      <c r="J14" s="7"/>
      <c r="K14" s="7">
        <f>ROUND(H14/G14,0)</f>
        <v>0</v>
      </c>
      <c r="L14" s="7">
        <f>ROUND(H14/G14,0)</f>
        <v>0</v>
      </c>
      <c r="M14" s="7">
        <f>ROUND(H14/G14,0)</f>
        <v>0</v>
      </c>
      <c r="N14" s="7">
        <f>ROUND(H14/G14,0)</f>
        <v>0</v>
      </c>
      <c r="O14" s="7">
        <f>ROUND(H14/G14,0)</f>
        <v>0</v>
      </c>
      <c r="P14" s="7">
        <f>$H14-K14-L14-M14-N14-O14</f>
        <v>0</v>
      </c>
      <c r="Q14" s="7"/>
    </row>
    <row r="15" spans="1:17" x14ac:dyDescent="0.25">
      <c r="F15">
        <v>2018</v>
      </c>
      <c r="G15" s="102">
        <f>'MFPRSI Supplemental Info 2017'!U59</f>
        <v>5.4</v>
      </c>
      <c r="H15" s="96" t="e">
        <f>IF(calculator!K94&gt;0,calculator!K94,0)</f>
        <v>#N/A</v>
      </c>
      <c r="I15" s="34"/>
      <c r="J15" s="34"/>
      <c r="K15" s="7"/>
      <c r="L15" s="7" t="e">
        <f>ROUND(H15/G15,0)</f>
        <v>#N/A</v>
      </c>
      <c r="M15" s="7" t="e">
        <f>ROUND(H15/G15,0)</f>
        <v>#N/A</v>
      </c>
      <c r="N15" s="7" t="e">
        <f>ROUND(H15/G15,0)</f>
        <v>#N/A</v>
      </c>
      <c r="O15" s="7" t="e">
        <f>ROUND(H15/G15,0)</f>
        <v>#N/A</v>
      </c>
      <c r="P15" s="7" t="e">
        <f>ROUND(H15/G15,0)</f>
        <v>#N/A</v>
      </c>
      <c r="Q15" s="7" t="e">
        <f>$H15-L15-M15-N15-O15-P15</f>
        <v>#N/A</v>
      </c>
    </row>
    <row r="16" spans="1:17" x14ac:dyDescent="0.25">
      <c r="I16" s="34"/>
      <c r="J16" s="34"/>
      <c r="K16" s="34"/>
      <c r="L16" s="34"/>
      <c r="M16" s="34"/>
      <c r="N16" s="34"/>
      <c r="O16" s="34"/>
      <c r="P16" s="34"/>
      <c r="Q16" s="34"/>
    </row>
    <row r="17" spans="2:17" x14ac:dyDescent="0.25">
      <c r="I17" s="34"/>
      <c r="J17" s="34"/>
      <c r="K17" s="34"/>
      <c r="L17" s="34"/>
      <c r="M17" s="34"/>
      <c r="N17" s="34"/>
      <c r="O17" s="34"/>
      <c r="P17" s="34"/>
      <c r="Q17" s="34"/>
    </row>
    <row r="18" spans="2:17" x14ac:dyDescent="0.25">
      <c r="C18" t="s">
        <v>173</v>
      </c>
      <c r="I18" s="88">
        <f>SUM(I12:I17)</f>
        <v>0</v>
      </c>
      <c r="J18" s="88">
        <f t="shared" ref="J18:O18" si="0">SUM(J12:J17)</f>
        <v>0</v>
      </c>
      <c r="K18" s="88">
        <f t="shared" si="0"/>
        <v>0</v>
      </c>
      <c r="L18" s="88" t="e">
        <f>SUM(L12:L17)</f>
        <v>#N/A</v>
      </c>
      <c r="M18" s="88" t="e">
        <f t="shared" si="0"/>
        <v>#N/A</v>
      </c>
      <c r="N18" s="88" t="e">
        <f t="shared" si="0"/>
        <v>#N/A</v>
      </c>
      <c r="O18" s="88" t="e">
        <f t="shared" si="0"/>
        <v>#N/A</v>
      </c>
      <c r="P18" s="88" t="e">
        <f t="shared" ref="P18:Q18" si="1">SUM(P12:P17)</f>
        <v>#N/A</v>
      </c>
      <c r="Q18" s="88" t="e">
        <f>SUM(Q12:Q17)</f>
        <v>#N/A</v>
      </c>
    </row>
    <row r="19" spans="2:17" x14ac:dyDescent="0.25">
      <c r="I19" s="34"/>
      <c r="J19" s="34"/>
      <c r="K19" s="34"/>
      <c r="L19" s="34"/>
      <c r="M19" s="34"/>
      <c r="N19" s="34"/>
      <c r="O19" s="34"/>
      <c r="P19" s="34"/>
      <c r="Q19" s="34"/>
    </row>
    <row r="20" spans="2:17" x14ac:dyDescent="0.25">
      <c r="I20" s="34"/>
      <c r="J20" s="34"/>
      <c r="K20" s="34"/>
      <c r="L20" s="34"/>
      <c r="M20" s="34"/>
      <c r="N20" s="34"/>
      <c r="O20" s="34"/>
      <c r="P20" s="34"/>
      <c r="Q20" s="34"/>
    </row>
    <row r="21" spans="2:17" x14ac:dyDescent="0.25">
      <c r="B21" t="s">
        <v>174</v>
      </c>
      <c r="I21" s="34"/>
      <c r="J21" s="34"/>
      <c r="K21" s="34"/>
      <c r="L21" s="34"/>
      <c r="M21" s="34"/>
      <c r="N21" s="34"/>
      <c r="O21" s="34"/>
      <c r="P21" s="34"/>
      <c r="Q21" s="34"/>
    </row>
    <row r="22" spans="2:17" x14ac:dyDescent="0.25">
      <c r="F22">
        <v>2015</v>
      </c>
      <c r="G22" s="102">
        <f>'MFPRSI Supplemental Info 2014'!U59</f>
        <v>5.6</v>
      </c>
      <c r="H22" s="130"/>
      <c r="I22" s="7">
        <f>ROUND(H22/G22,0)</f>
        <v>0</v>
      </c>
      <c r="J22" s="7">
        <f>ROUND(H22/G22,0)</f>
        <v>0</v>
      </c>
      <c r="K22" s="7">
        <f>ROUND(H22/G22,0)</f>
        <v>0</v>
      </c>
      <c r="L22" s="7">
        <f>ROUND(H22/G22,0)</f>
        <v>0</v>
      </c>
      <c r="M22" s="7">
        <f>ROUND(H22/G22,0)</f>
        <v>0</v>
      </c>
      <c r="N22" s="7">
        <f>$H22-I22-J22-K22-L22-M22</f>
        <v>0</v>
      </c>
      <c r="O22" s="7"/>
      <c r="P22" s="7"/>
      <c r="Q22" s="7"/>
    </row>
    <row r="23" spans="2:17" x14ac:dyDescent="0.25">
      <c r="F23">
        <v>2016</v>
      </c>
      <c r="G23" s="102">
        <f>'MFPRSI Supplemental Info 2015'!U59</f>
        <v>5.6</v>
      </c>
      <c r="H23" s="130"/>
      <c r="I23" s="7"/>
      <c r="J23" s="7">
        <f>ROUND(H23/G23,0)</f>
        <v>0</v>
      </c>
      <c r="K23" s="7">
        <f>ROUND(H23/G23,0)</f>
        <v>0</v>
      </c>
      <c r="L23" s="7">
        <f>ROUND(H23/G23,0)</f>
        <v>0</v>
      </c>
      <c r="M23" s="7">
        <f>ROUND(H23/G23,0)</f>
        <v>0</v>
      </c>
      <c r="N23" s="7">
        <f>ROUND(H23/G23,0)</f>
        <v>0</v>
      </c>
      <c r="O23" s="7">
        <f>$H23-J23-K23-L23-M23-N23</f>
        <v>0</v>
      </c>
      <c r="P23" s="7"/>
      <c r="Q23" s="7"/>
    </row>
    <row r="24" spans="2:17" x14ac:dyDescent="0.25">
      <c r="F24">
        <v>2017</v>
      </c>
      <c r="G24" s="102">
        <f>'MFPRSI Supplemental Info 2016'!U59</f>
        <v>5.5</v>
      </c>
      <c r="H24" s="130"/>
      <c r="I24" s="7"/>
      <c r="J24" s="7"/>
      <c r="K24" s="7">
        <f>ROUND(H24/G24,0)</f>
        <v>0</v>
      </c>
      <c r="L24" s="7">
        <f>ROUND(H24/G24,0)</f>
        <v>0</v>
      </c>
      <c r="M24" s="7">
        <f>ROUND(H24/G24,0)</f>
        <v>0</v>
      </c>
      <c r="N24" s="7">
        <f>ROUND(H24/G24,0)</f>
        <v>0</v>
      </c>
      <c r="O24" s="7">
        <f>ROUND(H24/G24,0)</f>
        <v>0</v>
      </c>
      <c r="P24" s="7">
        <f>$H24-K24-L24-M24-N24-O24</f>
        <v>0</v>
      </c>
      <c r="Q24" s="7"/>
    </row>
    <row r="25" spans="2:17" x14ac:dyDescent="0.25">
      <c r="F25">
        <v>2018</v>
      </c>
      <c r="G25" s="102">
        <f>'MFPRSI Supplemental Info 2017'!U59</f>
        <v>5.4</v>
      </c>
      <c r="H25" s="96" t="e">
        <f>IF(calculator!K94&lt;0,-calculator!K94,0)</f>
        <v>#N/A</v>
      </c>
      <c r="I25" s="7"/>
      <c r="J25" s="7"/>
      <c r="K25" s="7"/>
      <c r="L25" s="7" t="e">
        <f>ROUND(H25/G25,0)</f>
        <v>#N/A</v>
      </c>
      <c r="M25" s="7" t="e">
        <f>ROUND(H25/G25,0)</f>
        <v>#N/A</v>
      </c>
      <c r="N25" s="7" t="e">
        <f>ROUND(H25/G25,0)</f>
        <v>#N/A</v>
      </c>
      <c r="O25" s="7" t="e">
        <f>ROUND(H25/G25,0)</f>
        <v>#N/A</v>
      </c>
      <c r="P25" s="7" t="e">
        <f>ROUND(H25/G25,0)</f>
        <v>#N/A</v>
      </c>
      <c r="Q25" s="7" t="e">
        <f>$H25-L25-M25-N25-O25-P25</f>
        <v>#N/A</v>
      </c>
    </row>
    <row r="26" spans="2:17" x14ac:dyDescent="0.25"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x14ac:dyDescent="0.25"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x14ac:dyDescent="0.25"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x14ac:dyDescent="0.25"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ht="15.75" thickBot="1" x14ac:dyDescent="0.3">
      <c r="C30" t="s">
        <v>175</v>
      </c>
      <c r="H30" s="7"/>
      <c r="I30" s="9">
        <f>SUM(I22:I29)</f>
        <v>0</v>
      </c>
      <c r="J30" s="9">
        <f t="shared" ref="J30:O30" si="2">SUM(J22:J29)</f>
        <v>0</v>
      </c>
      <c r="K30" s="9">
        <f t="shared" si="2"/>
        <v>0</v>
      </c>
      <c r="L30" s="9" t="e">
        <f t="shared" si="2"/>
        <v>#N/A</v>
      </c>
      <c r="M30" s="9" t="e">
        <f t="shared" si="2"/>
        <v>#N/A</v>
      </c>
      <c r="N30" s="9" t="e">
        <f>SUM(N22:N29)</f>
        <v>#N/A</v>
      </c>
      <c r="O30" s="9" t="e">
        <f t="shared" si="2"/>
        <v>#N/A</v>
      </c>
      <c r="P30" s="9" t="e">
        <f t="shared" ref="P30:Q30" si="3">SUM(P22:P29)</f>
        <v>#N/A</v>
      </c>
      <c r="Q30" s="9" t="e">
        <f t="shared" si="3"/>
        <v>#N/A</v>
      </c>
    </row>
    <row r="31" spans="2:17" ht="15.75" thickTop="1" x14ac:dyDescent="0.25"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x14ac:dyDescent="0.25">
      <c r="I32" s="34"/>
      <c r="J32" s="34"/>
      <c r="K32" s="34"/>
      <c r="L32" s="34"/>
      <c r="M32" s="34"/>
      <c r="N32" s="34"/>
      <c r="O32" s="34"/>
      <c r="P32" s="34"/>
      <c r="Q32" s="34"/>
    </row>
    <row r="33" spans="1:17" x14ac:dyDescent="0.25">
      <c r="A33" s="2" t="s">
        <v>176</v>
      </c>
    </row>
    <row r="34" spans="1:17" x14ac:dyDescent="0.25">
      <c r="G34" s="131" t="s">
        <v>192</v>
      </c>
      <c r="H34" s="131"/>
      <c r="I34" s="131"/>
      <c r="J34" s="131"/>
      <c r="L34" s="150"/>
      <c r="M34" s="150"/>
      <c r="N34" s="150"/>
      <c r="O34" s="150"/>
    </row>
    <row r="35" spans="1:17" x14ac:dyDescent="0.25">
      <c r="B35" t="s">
        <v>177</v>
      </c>
      <c r="G35" s="23" t="s">
        <v>178</v>
      </c>
      <c r="H35" s="89" t="s">
        <v>179</v>
      </c>
      <c r="I35" s="89" t="s">
        <v>180</v>
      </c>
      <c r="L35" s="97"/>
      <c r="M35" s="98"/>
      <c r="N35" s="98"/>
      <c r="O35" s="99"/>
      <c r="P35" s="99"/>
      <c r="Q35" s="99"/>
    </row>
    <row r="36" spans="1:17" x14ac:dyDescent="0.25">
      <c r="B36" t="s">
        <v>181</v>
      </c>
      <c r="G36" s="90" t="s">
        <v>182</v>
      </c>
      <c r="H36" s="90" t="s">
        <v>183</v>
      </c>
      <c r="I36" s="90" t="s">
        <v>184</v>
      </c>
      <c r="J36" s="91" t="s">
        <v>185</v>
      </c>
      <c r="L36" s="98"/>
      <c r="M36" s="98"/>
      <c r="N36" s="98"/>
      <c r="O36" s="98"/>
      <c r="P36" s="98"/>
      <c r="Q36" s="98"/>
    </row>
    <row r="37" spans="1:17" x14ac:dyDescent="0.25">
      <c r="E37">
        <v>2019</v>
      </c>
      <c r="G37" s="85">
        <v>13207272</v>
      </c>
      <c r="H37" s="7" t="e">
        <f>G37*D44</f>
        <v>#N/A</v>
      </c>
      <c r="I37" s="7" t="e">
        <f>+M18-M30</f>
        <v>#N/A</v>
      </c>
      <c r="J37" s="7" t="e">
        <f>SUM(H37:I37)</f>
        <v>#N/A</v>
      </c>
      <c r="K37" s="7"/>
      <c r="L37" s="100"/>
      <c r="M37" s="100"/>
      <c r="N37" s="100"/>
      <c r="O37" s="100"/>
      <c r="P37" s="100"/>
      <c r="Q37" s="100"/>
    </row>
    <row r="38" spans="1:17" x14ac:dyDescent="0.25">
      <c r="A38" s="2"/>
      <c r="E38">
        <v>2020</v>
      </c>
      <c r="G38" s="85">
        <v>53566824</v>
      </c>
      <c r="H38" s="7" t="e">
        <f>G38*D44</f>
        <v>#N/A</v>
      </c>
      <c r="I38" s="7" t="e">
        <f>+N18-N30</f>
        <v>#N/A</v>
      </c>
      <c r="J38" s="7" t="e">
        <f t="shared" ref="J38:J42" si="4">SUM(H38:I38)</f>
        <v>#N/A</v>
      </c>
      <c r="K38" s="7"/>
      <c r="L38" s="100"/>
      <c r="M38" s="100"/>
      <c r="N38" s="100"/>
      <c r="O38" s="100"/>
      <c r="P38" s="100"/>
      <c r="Q38" s="100"/>
    </row>
    <row r="39" spans="1:17" x14ac:dyDescent="0.25">
      <c r="E39">
        <v>2021</v>
      </c>
      <c r="G39" s="85">
        <v>27996852</v>
      </c>
      <c r="H39" s="7" t="e">
        <f>G39*D44</f>
        <v>#N/A</v>
      </c>
      <c r="I39" s="7" t="e">
        <f>+O18-O30</f>
        <v>#N/A</v>
      </c>
      <c r="J39" s="7" t="e">
        <f t="shared" si="4"/>
        <v>#N/A</v>
      </c>
      <c r="K39" s="7"/>
      <c r="L39" s="100"/>
      <c r="M39" s="100"/>
      <c r="N39" s="100"/>
      <c r="O39" s="100"/>
      <c r="P39" s="100"/>
      <c r="Q39" s="100"/>
    </row>
    <row r="40" spans="1:17" x14ac:dyDescent="0.25">
      <c r="E40">
        <v>2022</v>
      </c>
      <c r="G40" s="85">
        <v>-9314455</v>
      </c>
      <c r="H40" s="7" t="e">
        <f>G40*D44</f>
        <v>#N/A</v>
      </c>
      <c r="I40" s="7" t="e">
        <f>+P18-P30</f>
        <v>#N/A</v>
      </c>
      <c r="J40" s="7" t="e">
        <f t="shared" si="4"/>
        <v>#N/A</v>
      </c>
      <c r="K40" s="7"/>
      <c r="L40" s="100"/>
      <c r="M40" s="100"/>
      <c r="N40" s="100"/>
      <c r="O40" s="100"/>
      <c r="P40" s="100"/>
      <c r="Q40" s="100"/>
    </row>
    <row r="41" spans="1:17" x14ac:dyDescent="0.25">
      <c r="E41">
        <v>2023</v>
      </c>
      <c r="G41" s="85">
        <v>3899434</v>
      </c>
      <c r="H41" s="7" t="e">
        <f>G41*D44</f>
        <v>#N/A</v>
      </c>
      <c r="I41" s="7" t="e">
        <f>+Q18-Q30</f>
        <v>#N/A</v>
      </c>
      <c r="J41" s="7" t="e">
        <f t="shared" si="4"/>
        <v>#N/A</v>
      </c>
      <c r="K41" s="7"/>
      <c r="L41" s="100"/>
      <c r="M41" s="100"/>
      <c r="N41" s="100"/>
      <c r="O41" s="100"/>
      <c r="P41" s="100"/>
      <c r="Q41" s="100"/>
    </row>
    <row r="42" spans="1:17" x14ac:dyDescent="0.25">
      <c r="E42" s="55" t="s">
        <v>186</v>
      </c>
      <c r="G42" s="92">
        <v>0</v>
      </c>
      <c r="H42" s="7" t="e">
        <f>G42*D44</f>
        <v>#N/A</v>
      </c>
      <c r="I42" s="7"/>
      <c r="J42" s="7" t="e">
        <f t="shared" si="4"/>
        <v>#N/A</v>
      </c>
      <c r="K42" s="7"/>
      <c r="L42" s="100"/>
      <c r="M42" s="100"/>
      <c r="N42" s="100"/>
      <c r="O42" s="100"/>
      <c r="P42" s="100"/>
      <c r="Q42" s="100"/>
    </row>
    <row r="43" spans="1:17" ht="15.75" thickBot="1" x14ac:dyDescent="0.3">
      <c r="E43" t="s">
        <v>187</v>
      </c>
      <c r="G43" s="9">
        <f>SUM(G37:G42)</f>
        <v>89355927</v>
      </c>
      <c r="H43" s="9" t="e">
        <f>SUM(H37:H42)</f>
        <v>#N/A</v>
      </c>
      <c r="I43" s="9" t="e">
        <f>SUM(I37:I42)</f>
        <v>#N/A</v>
      </c>
      <c r="J43" s="9" t="e">
        <f>SUM(J37:J42)</f>
        <v>#N/A</v>
      </c>
      <c r="K43" s="7"/>
      <c r="L43" s="100"/>
      <c r="M43" s="100"/>
      <c r="N43" s="100"/>
      <c r="O43" s="100"/>
      <c r="P43" s="100"/>
      <c r="Q43" s="100"/>
    </row>
    <row r="44" spans="1:17" ht="16.5" thickTop="1" thickBot="1" x14ac:dyDescent="0.3">
      <c r="A44" t="s">
        <v>188</v>
      </c>
      <c r="D44" s="93" t="e">
        <f>calculator!G16</f>
        <v>#N/A</v>
      </c>
      <c r="G44" s="7"/>
      <c r="H44" t="s">
        <v>189</v>
      </c>
      <c r="I44" s="7"/>
      <c r="J44" s="7"/>
      <c r="K44" s="7"/>
      <c r="L44" s="100"/>
      <c r="M44" s="99"/>
      <c r="N44" s="100"/>
      <c r="O44" s="100"/>
      <c r="P44" s="100"/>
      <c r="Q44" s="100"/>
    </row>
    <row r="45" spans="1:17" ht="15.75" thickTop="1" x14ac:dyDescent="0.25">
      <c r="L45" s="99"/>
      <c r="M45" s="99"/>
      <c r="N45" s="99"/>
      <c r="O45" s="99"/>
      <c r="P45" s="99"/>
      <c r="Q45" s="99"/>
    </row>
    <row r="121" spans="9:11" x14ac:dyDescent="0.25">
      <c r="I121">
        <f>P48</f>
        <v>0</v>
      </c>
      <c r="K121">
        <f>R48</f>
        <v>0</v>
      </c>
    </row>
  </sheetData>
  <mergeCells count="4">
    <mergeCell ref="G34:J34"/>
    <mergeCell ref="L34:O34"/>
    <mergeCell ref="A5:O6"/>
    <mergeCell ref="I9:Q9"/>
  </mergeCells>
  <pageMargins left="0.7" right="0.7" top="0.75" bottom="0.75" header="0.3" footer="0.3"/>
  <pageSetup scale="28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3.5703125" style="56" bestFit="1" customWidth="1"/>
    <col min="2" max="2" width="15" style="60" bestFit="1" customWidth="1"/>
    <col min="3" max="3" width="10.7109375" style="106" bestFit="1" customWidth="1"/>
    <col min="4" max="4" width="10.7109375" style="111" bestFit="1" customWidth="1"/>
    <col min="5" max="5" width="11.140625" style="111" bestFit="1" customWidth="1"/>
    <col min="6" max="6" width="10.7109375" style="111" bestFit="1" customWidth="1"/>
    <col min="7" max="7" width="9.7109375" style="111" bestFit="1" customWidth="1"/>
    <col min="8" max="9" width="9.85546875" style="111" bestFit="1" customWidth="1"/>
    <col min="10" max="10" width="11.140625" style="111" customWidth="1"/>
    <col min="11" max="11" width="8.7109375" style="116" bestFit="1" customWidth="1"/>
    <col min="12" max="12" width="9.28515625" style="116" bestFit="1" customWidth="1"/>
    <col min="13" max="13" width="9.7109375" style="116" bestFit="1" customWidth="1"/>
    <col min="14" max="14" width="0.85546875" style="116" customWidth="1"/>
    <col min="15" max="15" width="10.7109375" style="116" bestFit="1" customWidth="1"/>
    <col min="16" max="16" width="12.42578125" style="118" bestFit="1" customWidth="1"/>
    <col min="17" max="17" width="10.7109375" style="116" customWidth="1"/>
    <col min="18" max="18" width="2.28515625" style="116" customWidth="1"/>
    <col min="19" max="19" width="10.7109375" style="116" bestFit="1" customWidth="1"/>
    <col min="20" max="20" width="11.7109375" style="116" customWidth="1"/>
    <col min="21" max="21" width="12.7109375" style="116" bestFit="1" customWidth="1"/>
    <col min="22" max="22" width="2.28515625" style="116" customWidth="1"/>
    <col min="23" max="23" width="12.7109375" style="116" bestFit="1" customWidth="1"/>
    <col min="24" max="24" width="2.28515625" style="116" customWidth="1"/>
    <col min="25" max="25" width="11.140625" style="116" bestFit="1" customWidth="1"/>
    <col min="27" max="27" width="11.28515625" bestFit="1" customWidth="1"/>
  </cols>
  <sheetData>
    <row r="1" spans="1:27" x14ac:dyDescent="0.25">
      <c r="C1" s="105" t="s">
        <v>157</v>
      </c>
      <c r="O1" s="105" t="s">
        <v>158</v>
      </c>
    </row>
    <row r="3" spans="1:27" x14ac:dyDescent="0.25">
      <c r="H3" s="112" t="s">
        <v>78</v>
      </c>
      <c r="K3" s="158" t="s">
        <v>79</v>
      </c>
      <c r="L3" s="158"/>
      <c r="M3" s="158"/>
      <c r="O3" s="159" t="s">
        <v>27</v>
      </c>
      <c r="P3" s="159"/>
      <c r="Q3" s="159"/>
      <c r="S3" s="159" t="s">
        <v>30</v>
      </c>
      <c r="T3" s="159"/>
      <c r="U3" s="159"/>
    </row>
    <row r="4" spans="1:27" x14ac:dyDescent="0.25">
      <c r="C4" s="107">
        <v>42551</v>
      </c>
      <c r="D4" s="107">
        <v>42916</v>
      </c>
      <c r="E4" s="107">
        <v>42551</v>
      </c>
      <c r="G4" s="112" t="s">
        <v>80</v>
      </c>
      <c r="H4" s="112" t="s">
        <v>49</v>
      </c>
      <c r="I4" s="112" t="s">
        <v>49</v>
      </c>
      <c r="J4" s="112" t="s">
        <v>81</v>
      </c>
      <c r="O4" s="112" t="s">
        <v>82</v>
      </c>
      <c r="Q4" s="112" t="s">
        <v>83</v>
      </c>
      <c r="R4" s="112"/>
      <c r="S4" s="112" t="s">
        <v>82</v>
      </c>
      <c r="U4" s="112" t="s">
        <v>83</v>
      </c>
      <c r="V4" s="112"/>
      <c r="W4" s="112" t="s">
        <v>159</v>
      </c>
      <c r="X4" s="112"/>
      <c r="Y4" s="119" t="s">
        <v>84</v>
      </c>
    </row>
    <row r="5" spans="1:27" x14ac:dyDescent="0.25">
      <c r="A5" s="56" t="s">
        <v>154</v>
      </c>
      <c r="C5" s="108" t="s">
        <v>85</v>
      </c>
      <c r="D5" s="108" t="s">
        <v>85</v>
      </c>
      <c r="E5" s="112" t="s">
        <v>86</v>
      </c>
      <c r="F5" s="112" t="s">
        <v>87</v>
      </c>
      <c r="G5" s="112" t="s">
        <v>85</v>
      </c>
      <c r="H5" s="112" t="s">
        <v>88</v>
      </c>
      <c r="I5" s="112" t="s">
        <v>88</v>
      </c>
      <c r="J5" s="112" t="s">
        <v>89</v>
      </c>
      <c r="K5" s="112" t="s">
        <v>90</v>
      </c>
      <c r="L5" s="119" t="s">
        <v>91</v>
      </c>
      <c r="M5" s="119" t="s">
        <v>91</v>
      </c>
      <c r="O5" s="119" t="s">
        <v>92</v>
      </c>
      <c r="P5" s="123" t="s">
        <v>160</v>
      </c>
      <c r="Q5" s="119" t="s">
        <v>92</v>
      </c>
      <c r="R5" s="119"/>
      <c r="S5" s="119" t="s">
        <v>92</v>
      </c>
      <c r="T5" s="112" t="s">
        <v>160</v>
      </c>
      <c r="U5" s="119" t="s">
        <v>92</v>
      </c>
      <c r="V5" s="119"/>
      <c r="W5" s="112" t="s">
        <v>87</v>
      </c>
      <c r="X5" s="112"/>
      <c r="Y5" s="119" t="s">
        <v>90</v>
      </c>
    </row>
    <row r="6" spans="1:27" ht="20.100000000000001" customHeight="1" x14ac:dyDescent="0.35">
      <c r="A6" s="63" t="s">
        <v>155</v>
      </c>
      <c r="B6" s="67" t="s">
        <v>93</v>
      </c>
      <c r="C6" s="109" t="s">
        <v>94</v>
      </c>
      <c r="D6" s="109" t="s">
        <v>94</v>
      </c>
      <c r="E6" s="113" t="s">
        <v>95</v>
      </c>
      <c r="F6" s="117">
        <v>42916</v>
      </c>
      <c r="G6" s="113" t="s">
        <v>96</v>
      </c>
      <c r="H6" s="113" t="s">
        <v>97</v>
      </c>
      <c r="I6" s="113" t="s">
        <v>97</v>
      </c>
      <c r="J6" s="113" t="s">
        <v>98</v>
      </c>
      <c r="K6" s="113" t="s">
        <v>56</v>
      </c>
      <c r="L6" s="113" t="s">
        <v>99</v>
      </c>
      <c r="M6" s="120" t="s">
        <v>100</v>
      </c>
      <c r="O6" s="120" t="s">
        <v>101</v>
      </c>
      <c r="P6" s="124" t="s">
        <v>102</v>
      </c>
      <c r="Q6" s="120" t="s">
        <v>103</v>
      </c>
      <c r="R6" s="120"/>
      <c r="S6" s="120" t="s">
        <v>101</v>
      </c>
      <c r="T6" s="120" t="s">
        <v>102</v>
      </c>
      <c r="U6" s="120" t="s">
        <v>103</v>
      </c>
      <c r="V6" s="120"/>
      <c r="W6" s="117">
        <v>42916</v>
      </c>
      <c r="X6" s="117"/>
      <c r="Y6" s="120" t="s">
        <v>56</v>
      </c>
    </row>
    <row r="7" spans="1:27" ht="20.100000000000001" customHeight="1" x14ac:dyDescent="0.25">
      <c r="A7" s="56">
        <v>101</v>
      </c>
      <c r="B7" s="73" t="s">
        <v>104</v>
      </c>
      <c r="C7" s="106">
        <f>'MFPRSI Supplemental Info 2016'!D7</f>
        <v>2.6499450000000001E-2</v>
      </c>
      <c r="D7" s="106">
        <v>2.6513100000000001E-2</v>
      </c>
      <c r="E7" s="114">
        <f>'MFPRSI Supplemental Info 2016'!W7</f>
        <v>16569071</v>
      </c>
      <c r="F7" s="114">
        <f>ROUND($E$57*D7,0)</f>
        <v>16577606</v>
      </c>
      <c r="G7" s="114">
        <f>F7-E7</f>
        <v>8535</v>
      </c>
      <c r="H7" s="114">
        <f>ROUND(D7*$U$60,0)</f>
        <v>1946358</v>
      </c>
      <c r="I7" s="114">
        <f>H7</f>
        <v>1946358</v>
      </c>
      <c r="J7" s="114">
        <f>H7-I7</f>
        <v>0</v>
      </c>
      <c r="K7" s="118">
        <f>ROUND((G7+J7)/$U$59,0)</f>
        <v>1581</v>
      </c>
      <c r="L7" s="121">
        <f>IF(K7&lt;0,0,G7+J7-K7)</f>
        <v>6954</v>
      </c>
      <c r="M7" s="118">
        <f>IF(G7&lt;0,(G7+J7-K7),0)</f>
        <v>0</v>
      </c>
      <c r="O7" s="118">
        <v>596706</v>
      </c>
      <c r="P7" s="114">
        <v>1321353</v>
      </c>
      <c r="Q7" s="118">
        <v>3761030</v>
      </c>
      <c r="S7" s="114">
        <v>-9461</v>
      </c>
      <c r="T7" s="118">
        <v>-176609</v>
      </c>
      <c r="U7" s="114">
        <v>-3123916</v>
      </c>
      <c r="W7" s="114">
        <v>15549272</v>
      </c>
      <c r="X7" s="114"/>
      <c r="Y7" s="114">
        <v>2365546</v>
      </c>
      <c r="AA7" s="49"/>
    </row>
    <row r="8" spans="1:27" ht="20.100000000000001" customHeight="1" x14ac:dyDescent="0.25">
      <c r="A8" s="56">
        <v>102</v>
      </c>
      <c r="B8" s="73" t="s">
        <v>105</v>
      </c>
      <c r="C8" s="106">
        <f>'MFPRSI Supplemental Info 2016'!D8</f>
        <v>1.871985E-2</v>
      </c>
      <c r="D8" s="106">
        <v>1.9639009999999998E-2</v>
      </c>
      <c r="E8" s="114">
        <f>'MFPRSI Supplemental Info 2016'!W8</f>
        <v>11704791</v>
      </c>
      <c r="F8" s="114">
        <f t="shared" ref="F8:F55" si="0">ROUND($E$57*D8,0)</f>
        <v>12279506</v>
      </c>
      <c r="G8" s="114">
        <f t="shared" ref="G8:G55" si="1">F8-E8</f>
        <v>574715</v>
      </c>
      <c r="H8" s="114">
        <f t="shared" ref="H8:H55" si="2">ROUND(D8*$U$60,0)</f>
        <v>1441723</v>
      </c>
      <c r="I8" s="114">
        <f t="shared" ref="I8:I55" si="3">H8</f>
        <v>1441723</v>
      </c>
      <c r="J8" s="114">
        <f t="shared" ref="J8:J55" si="4">H8-I8</f>
        <v>0</v>
      </c>
      <c r="K8" s="118">
        <f t="shared" ref="K8:K55" si="5">ROUND((G8+J8)/$U$59,0)</f>
        <v>106429</v>
      </c>
      <c r="L8" s="118">
        <f t="shared" ref="L8:L55" si="6">IF(K8&lt;0,0,G8+J8-K8)</f>
        <v>468286</v>
      </c>
      <c r="M8" s="118">
        <f t="shared" ref="M8:M55" si="7">IF(G8&lt;0,(G8+J8-K8),0)</f>
        <v>0</v>
      </c>
      <c r="O8" s="118">
        <v>441997</v>
      </c>
      <c r="P8" s="114">
        <v>978764</v>
      </c>
      <c r="Q8" s="118">
        <v>2785902</v>
      </c>
      <c r="S8" s="114">
        <v>-7008</v>
      </c>
      <c r="T8" s="118">
        <v>-130819</v>
      </c>
      <c r="U8" s="114">
        <v>-2313974</v>
      </c>
      <c r="W8" s="114">
        <v>11517790</v>
      </c>
      <c r="X8" s="114"/>
      <c r="Y8" s="114">
        <v>1752227</v>
      </c>
      <c r="AA8" s="49"/>
    </row>
    <row r="9" spans="1:27" ht="20.100000000000001" customHeight="1" x14ac:dyDescent="0.25">
      <c r="A9" s="56">
        <v>103</v>
      </c>
      <c r="B9" s="73" t="s">
        <v>106</v>
      </c>
      <c r="C9" s="106">
        <f>'MFPRSI Supplemental Info 2016'!D9</f>
        <v>1.8706150000000001E-2</v>
      </c>
      <c r="D9" s="106">
        <v>1.896859E-2</v>
      </c>
      <c r="E9" s="114">
        <f>'MFPRSI Supplemental Info 2016'!W9</f>
        <v>11696225</v>
      </c>
      <c r="F9" s="114">
        <f t="shared" si="0"/>
        <v>11860318</v>
      </c>
      <c r="G9" s="114">
        <f t="shared" si="1"/>
        <v>164093</v>
      </c>
      <c r="H9" s="114">
        <f t="shared" si="2"/>
        <v>1392506</v>
      </c>
      <c r="I9" s="114">
        <f t="shared" si="3"/>
        <v>1392506</v>
      </c>
      <c r="J9" s="114">
        <f t="shared" si="4"/>
        <v>0</v>
      </c>
      <c r="K9" s="118">
        <f t="shared" si="5"/>
        <v>30388</v>
      </c>
      <c r="L9" s="118">
        <f t="shared" si="6"/>
        <v>133705</v>
      </c>
      <c r="M9" s="118">
        <f t="shared" si="7"/>
        <v>0</v>
      </c>
      <c r="O9" s="118">
        <v>426908</v>
      </c>
      <c r="P9" s="114">
        <v>945352</v>
      </c>
      <c r="Q9" s="118">
        <v>2690799</v>
      </c>
      <c r="S9" s="114">
        <v>-6769</v>
      </c>
      <c r="T9" s="118">
        <v>-126353</v>
      </c>
      <c r="U9" s="114">
        <v>-2234981</v>
      </c>
      <c r="W9" s="114">
        <v>11124605</v>
      </c>
      <c r="X9" s="114"/>
      <c r="Y9" s="114">
        <v>1692411</v>
      </c>
      <c r="AA9" s="49"/>
    </row>
    <row r="10" spans="1:27" ht="20.100000000000001" customHeight="1" x14ac:dyDescent="0.25">
      <c r="A10" s="56">
        <v>104</v>
      </c>
      <c r="B10" s="73" t="s">
        <v>107</v>
      </c>
      <c r="C10" s="106">
        <f>'MFPRSI Supplemental Info 2016'!D10</f>
        <v>5.8720899999999999E-3</v>
      </c>
      <c r="D10" s="106">
        <v>5.7559500000000001E-3</v>
      </c>
      <c r="E10" s="114">
        <f>'MFPRSI Supplemental Info 2016'!W10</f>
        <v>3671588</v>
      </c>
      <c r="F10" s="114">
        <f t="shared" si="0"/>
        <v>3598971</v>
      </c>
      <c r="G10" s="114">
        <f t="shared" si="1"/>
        <v>-72617</v>
      </c>
      <c r="H10" s="114">
        <f t="shared" si="2"/>
        <v>422551</v>
      </c>
      <c r="I10" s="114">
        <f t="shared" si="3"/>
        <v>422551</v>
      </c>
      <c r="J10" s="114">
        <f t="shared" si="4"/>
        <v>0</v>
      </c>
      <c r="K10" s="118">
        <f t="shared" si="5"/>
        <v>-13448</v>
      </c>
      <c r="L10" s="118">
        <f t="shared" si="6"/>
        <v>0</v>
      </c>
      <c r="M10" s="118">
        <f t="shared" si="7"/>
        <v>-59169</v>
      </c>
      <c r="O10" s="118">
        <v>129544</v>
      </c>
      <c r="P10" s="114">
        <v>286864</v>
      </c>
      <c r="Q10" s="118">
        <v>816513</v>
      </c>
      <c r="S10" s="114">
        <v>-2054</v>
      </c>
      <c r="T10" s="118">
        <v>-38341</v>
      </c>
      <c r="U10" s="114">
        <v>-678197</v>
      </c>
      <c r="W10" s="114">
        <v>3375721</v>
      </c>
      <c r="X10" s="114"/>
      <c r="Y10" s="114">
        <v>513556</v>
      </c>
      <c r="AA10" s="49"/>
    </row>
    <row r="11" spans="1:27" ht="20.100000000000001" customHeight="1" x14ac:dyDescent="0.25">
      <c r="A11" s="56">
        <v>105</v>
      </c>
      <c r="B11" s="73" t="s">
        <v>108</v>
      </c>
      <c r="C11" s="106">
        <f>'MFPRSI Supplemental Info 2016'!D11</f>
        <v>1.8023230000000001E-2</v>
      </c>
      <c r="D11" s="106">
        <v>1.844703E-2</v>
      </c>
      <c r="E11" s="114">
        <f>'MFPRSI Supplemental Info 2016'!W11</f>
        <v>11269222</v>
      </c>
      <c r="F11" s="114">
        <f t="shared" si="0"/>
        <v>11534207</v>
      </c>
      <c r="G11" s="114">
        <f t="shared" si="1"/>
        <v>264985</v>
      </c>
      <c r="H11" s="114">
        <f t="shared" si="2"/>
        <v>1354218</v>
      </c>
      <c r="I11" s="114">
        <f t="shared" si="3"/>
        <v>1354218</v>
      </c>
      <c r="J11" s="114">
        <f t="shared" si="4"/>
        <v>0</v>
      </c>
      <c r="K11" s="118">
        <f t="shared" si="5"/>
        <v>49071</v>
      </c>
      <c r="L11" s="118">
        <f t="shared" si="6"/>
        <v>215914</v>
      </c>
      <c r="M11" s="118">
        <f t="shared" si="7"/>
        <v>0</v>
      </c>
      <c r="O11" s="118">
        <v>415170</v>
      </c>
      <c r="P11" s="114">
        <v>919358</v>
      </c>
      <c r="Q11" s="118">
        <v>2616813</v>
      </c>
      <c r="S11" s="114">
        <v>-6583</v>
      </c>
      <c r="T11" s="118">
        <v>-122879</v>
      </c>
      <c r="U11" s="114">
        <v>-2173528</v>
      </c>
      <c r="W11" s="114">
        <v>10818723</v>
      </c>
      <c r="X11" s="114"/>
      <c r="Y11" s="114">
        <v>1645877</v>
      </c>
      <c r="AA11" s="49"/>
    </row>
    <row r="12" spans="1:27" ht="20.100000000000001" customHeight="1" x14ac:dyDescent="0.25">
      <c r="A12" s="56">
        <v>106</v>
      </c>
      <c r="B12" s="73" t="s">
        <v>109</v>
      </c>
      <c r="C12" s="106">
        <f>'MFPRSI Supplemental Info 2016'!D12</f>
        <v>2.43648E-3</v>
      </c>
      <c r="D12" s="106">
        <v>2.1197799999999999E-3</v>
      </c>
      <c r="E12" s="114">
        <f>'MFPRSI Supplemental Info 2016'!W12</f>
        <v>1523436</v>
      </c>
      <c r="F12" s="114">
        <f t="shared" si="0"/>
        <v>1325416</v>
      </c>
      <c r="G12" s="114">
        <f t="shared" si="1"/>
        <v>-198020</v>
      </c>
      <c r="H12" s="114">
        <f t="shared" si="2"/>
        <v>155616</v>
      </c>
      <c r="I12" s="114">
        <f t="shared" si="3"/>
        <v>155616</v>
      </c>
      <c r="J12" s="114">
        <f t="shared" si="4"/>
        <v>0</v>
      </c>
      <c r="K12" s="118">
        <f t="shared" si="5"/>
        <v>-36670</v>
      </c>
      <c r="L12" s="118">
        <f t="shared" si="6"/>
        <v>0</v>
      </c>
      <c r="M12" s="118">
        <f t="shared" si="7"/>
        <v>-161350</v>
      </c>
      <c r="O12" s="118">
        <v>47708</v>
      </c>
      <c r="P12" s="114">
        <v>105645</v>
      </c>
      <c r="Q12" s="118">
        <v>300702</v>
      </c>
      <c r="S12" s="114">
        <v>-756</v>
      </c>
      <c r="T12" s="118">
        <v>-14120</v>
      </c>
      <c r="U12" s="114">
        <v>-249764</v>
      </c>
      <c r="W12" s="114">
        <v>1243198</v>
      </c>
      <c r="X12" s="114"/>
      <c r="Y12" s="114">
        <v>189131</v>
      </c>
      <c r="AA12" s="49"/>
    </row>
    <row r="13" spans="1:27" ht="20.100000000000001" customHeight="1" x14ac:dyDescent="0.25">
      <c r="A13" s="56">
        <v>107</v>
      </c>
      <c r="B13" s="73" t="s">
        <v>110</v>
      </c>
      <c r="C13" s="106">
        <f>'MFPRSI Supplemental Info 2016'!D13</f>
        <v>2.9939599999999999E-3</v>
      </c>
      <c r="D13" s="106">
        <v>3.0369799999999999E-3</v>
      </c>
      <c r="E13" s="114">
        <f>'MFPRSI Supplemental Info 2016'!W13</f>
        <v>1872006</v>
      </c>
      <c r="F13" s="114">
        <f t="shared" si="0"/>
        <v>1898905</v>
      </c>
      <c r="G13" s="114">
        <f t="shared" si="1"/>
        <v>26899</v>
      </c>
      <c r="H13" s="114">
        <f t="shared" si="2"/>
        <v>222948</v>
      </c>
      <c r="I13" s="114">
        <f t="shared" si="3"/>
        <v>222948</v>
      </c>
      <c r="J13" s="114">
        <f t="shared" si="4"/>
        <v>0</v>
      </c>
      <c r="K13" s="118">
        <f t="shared" si="5"/>
        <v>4981</v>
      </c>
      <c r="L13" s="118">
        <f t="shared" si="6"/>
        <v>21918</v>
      </c>
      <c r="M13" s="118">
        <f t="shared" si="7"/>
        <v>0</v>
      </c>
      <c r="O13" s="118">
        <v>68350</v>
      </c>
      <c r="P13" s="114">
        <v>151356</v>
      </c>
      <c r="Q13" s="118">
        <v>430812</v>
      </c>
      <c r="S13" s="114">
        <v>-1084</v>
      </c>
      <c r="T13" s="118">
        <v>-20230</v>
      </c>
      <c r="U13" s="114">
        <v>-357833</v>
      </c>
      <c r="W13" s="114">
        <v>1781113</v>
      </c>
      <c r="X13" s="114"/>
      <c r="Y13" s="114">
        <v>270965</v>
      </c>
      <c r="AA13" s="49"/>
    </row>
    <row r="14" spans="1:27" ht="20.100000000000001" customHeight="1" x14ac:dyDescent="0.25">
      <c r="A14" s="56">
        <v>108</v>
      </c>
      <c r="B14" s="73" t="s">
        <v>111</v>
      </c>
      <c r="C14" s="106">
        <f>'MFPRSI Supplemental Info 2016'!D14</f>
        <v>1.7279389999999999E-2</v>
      </c>
      <c r="D14" s="106">
        <v>1.671545E-2</v>
      </c>
      <c r="E14" s="114">
        <f>'MFPRSI Supplemental Info 2016'!W14</f>
        <v>10804128</v>
      </c>
      <c r="F14" s="114">
        <f t="shared" si="0"/>
        <v>10451518</v>
      </c>
      <c r="G14" s="114">
        <f t="shared" si="1"/>
        <v>-352610</v>
      </c>
      <c r="H14" s="114">
        <f t="shared" si="2"/>
        <v>1227101</v>
      </c>
      <c r="I14" s="114">
        <f t="shared" si="3"/>
        <v>1227101</v>
      </c>
      <c r="J14" s="114">
        <f t="shared" si="4"/>
        <v>0</v>
      </c>
      <c r="K14" s="118">
        <f t="shared" si="5"/>
        <v>-65298</v>
      </c>
      <c r="L14" s="118">
        <f t="shared" si="6"/>
        <v>0</v>
      </c>
      <c r="M14" s="118">
        <f t="shared" si="7"/>
        <v>-287312</v>
      </c>
      <c r="O14" s="118">
        <v>376199</v>
      </c>
      <c r="P14" s="114">
        <v>833060</v>
      </c>
      <c r="Q14" s="118">
        <v>2371179</v>
      </c>
      <c r="S14" s="114">
        <v>-5965</v>
      </c>
      <c r="T14" s="118">
        <v>-111345</v>
      </c>
      <c r="U14" s="114">
        <v>-1969504</v>
      </c>
      <c r="W14" s="114">
        <v>9803195</v>
      </c>
      <c r="X14" s="114"/>
      <c r="Y14" s="114">
        <v>1491382</v>
      </c>
      <c r="AA14" s="49"/>
    </row>
    <row r="15" spans="1:27" ht="20.100000000000001" customHeight="1" x14ac:dyDescent="0.25">
      <c r="A15" s="56">
        <v>109</v>
      </c>
      <c r="B15" s="73" t="s">
        <v>112</v>
      </c>
      <c r="C15" s="106">
        <f>'MFPRSI Supplemental Info 2016'!D15</f>
        <v>9.313457E-2</v>
      </c>
      <c r="D15" s="106">
        <v>9.6577670000000004E-2</v>
      </c>
      <c r="E15" s="114">
        <f>'MFPRSI Supplemental Info 2016'!W15</f>
        <v>58233408</v>
      </c>
      <c r="F15" s="114">
        <f t="shared" si="0"/>
        <v>60386244</v>
      </c>
      <c r="G15" s="114">
        <f t="shared" si="1"/>
        <v>2152836</v>
      </c>
      <c r="H15" s="114">
        <f t="shared" si="2"/>
        <v>7089879</v>
      </c>
      <c r="I15" s="114">
        <f t="shared" si="3"/>
        <v>7089879</v>
      </c>
      <c r="J15" s="114">
        <f t="shared" si="4"/>
        <v>0</v>
      </c>
      <c r="K15" s="118">
        <f t="shared" si="5"/>
        <v>398673</v>
      </c>
      <c r="L15" s="118">
        <f t="shared" si="6"/>
        <v>1754163</v>
      </c>
      <c r="M15" s="118">
        <f t="shared" si="7"/>
        <v>0</v>
      </c>
      <c r="O15" s="118">
        <v>2173584</v>
      </c>
      <c r="P15" s="114">
        <v>4813212</v>
      </c>
      <c r="Q15" s="118">
        <v>13700076</v>
      </c>
      <c r="S15" s="114">
        <v>-34463</v>
      </c>
      <c r="T15" s="118">
        <v>-643322</v>
      </c>
      <c r="U15" s="114">
        <v>-11379300</v>
      </c>
      <c r="W15" s="114">
        <v>56640395</v>
      </c>
      <c r="X15" s="114"/>
      <c r="Y15" s="114">
        <v>8616831</v>
      </c>
      <c r="AA15" s="49"/>
    </row>
    <row r="16" spans="1:27" ht="20.100000000000001" customHeight="1" x14ac:dyDescent="0.25">
      <c r="A16" s="56">
        <v>110</v>
      </c>
      <c r="B16" s="73" t="s">
        <v>113</v>
      </c>
      <c r="C16" s="106">
        <f>'MFPRSI Supplemental Info 2016'!D16</f>
        <v>2.4635799999999999E-3</v>
      </c>
      <c r="D16" s="106">
        <v>2.4296299999999999E-3</v>
      </c>
      <c r="E16" s="114">
        <f>'MFPRSI Supplemental Info 2016'!W16</f>
        <v>1540380</v>
      </c>
      <c r="F16" s="114">
        <f t="shared" si="0"/>
        <v>1519153</v>
      </c>
      <c r="G16" s="114">
        <f t="shared" si="1"/>
        <v>-21227</v>
      </c>
      <c r="H16" s="114">
        <f t="shared" si="2"/>
        <v>178362</v>
      </c>
      <c r="I16" s="114">
        <f t="shared" si="3"/>
        <v>178362</v>
      </c>
      <c r="J16" s="114">
        <f t="shared" si="4"/>
        <v>0</v>
      </c>
      <c r="K16" s="118">
        <f t="shared" si="5"/>
        <v>-3931</v>
      </c>
      <c r="L16" s="118">
        <f t="shared" si="6"/>
        <v>0</v>
      </c>
      <c r="M16" s="118">
        <f t="shared" si="7"/>
        <v>-17296</v>
      </c>
      <c r="O16" s="118">
        <v>54681</v>
      </c>
      <c r="P16" s="114">
        <v>121087</v>
      </c>
      <c r="Q16" s="118">
        <v>344656</v>
      </c>
      <c r="S16" s="114">
        <v>-867</v>
      </c>
      <c r="T16" s="118">
        <v>-16184</v>
      </c>
      <c r="U16" s="114">
        <v>-286272</v>
      </c>
      <c r="W16" s="114">
        <v>1424917</v>
      </c>
      <c r="X16" s="114"/>
      <c r="Y16" s="114">
        <v>216776</v>
      </c>
      <c r="AA16" s="49"/>
    </row>
    <row r="17" spans="1:27" ht="20.100000000000001" customHeight="1" x14ac:dyDescent="0.25">
      <c r="A17" s="56">
        <v>111</v>
      </c>
      <c r="B17" s="73" t="s">
        <v>114</v>
      </c>
      <c r="C17" s="106">
        <f>'MFPRSI Supplemental Info 2016'!D17</f>
        <v>3.34987E-3</v>
      </c>
      <c r="D17" s="106">
        <v>3.2138399999999999E-3</v>
      </c>
      <c r="E17" s="114">
        <f>'MFPRSI Supplemental Info 2016'!W17</f>
        <v>2094543</v>
      </c>
      <c r="F17" s="114">
        <f t="shared" si="0"/>
        <v>2009489</v>
      </c>
      <c r="G17" s="114">
        <f t="shared" si="1"/>
        <v>-85054</v>
      </c>
      <c r="H17" s="114">
        <f t="shared" si="2"/>
        <v>235932</v>
      </c>
      <c r="I17" s="114">
        <f t="shared" si="3"/>
        <v>235932</v>
      </c>
      <c r="J17" s="114">
        <f t="shared" si="4"/>
        <v>0</v>
      </c>
      <c r="K17" s="118">
        <f t="shared" si="5"/>
        <v>-15751</v>
      </c>
      <c r="L17" s="118">
        <f t="shared" si="6"/>
        <v>0</v>
      </c>
      <c r="M17" s="118">
        <f t="shared" si="7"/>
        <v>-69303</v>
      </c>
      <c r="O17" s="118">
        <v>72331</v>
      </c>
      <c r="P17" s="114">
        <v>160171</v>
      </c>
      <c r="Q17" s="118">
        <v>455901</v>
      </c>
      <c r="S17" s="114">
        <v>-1147</v>
      </c>
      <c r="T17" s="118">
        <v>-21408</v>
      </c>
      <c r="U17" s="114">
        <v>-378672</v>
      </c>
      <c r="W17" s="114">
        <v>1884837</v>
      </c>
      <c r="X17" s="114"/>
      <c r="Y17" s="114">
        <v>286745</v>
      </c>
      <c r="AA17" s="49"/>
    </row>
    <row r="18" spans="1:27" ht="20.100000000000001" customHeight="1" x14ac:dyDescent="0.25">
      <c r="A18" s="56">
        <v>112</v>
      </c>
      <c r="B18" s="73" t="s">
        <v>115</v>
      </c>
      <c r="C18" s="106">
        <f>'MFPRSI Supplemental Info 2016'!D18</f>
        <v>1.907348E-2</v>
      </c>
      <c r="D18" s="106">
        <v>1.8612099999999999E-2</v>
      </c>
      <c r="E18" s="114">
        <f>'MFPRSI Supplemental Info 2016'!W18</f>
        <v>11925902</v>
      </c>
      <c r="F18" s="114">
        <f t="shared" si="0"/>
        <v>11637419</v>
      </c>
      <c r="G18" s="114">
        <f t="shared" si="1"/>
        <v>-288483</v>
      </c>
      <c r="H18" s="114">
        <f t="shared" si="2"/>
        <v>1366336</v>
      </c>
      <c r="I18" s="114">
        <f t="shared" si="3"/>
        <v>1366336</v>
      </c>
      <c r="J18" s="114">
        <f t="shared" si="4"/>
        <v>0</v>
      </c>
      <c r="K18" s="118">
        <f t="shared" si="5"/>
        <v>-53423</v>
      </c>
      <c r="L18" s="118">
        <f t="shared" si="6"/>
        <v>0</v>
      </c>
      <c r="M18" s="118">
        <f t="shared" si="7"/>
        <v>-235060</v>
      </c>
      <c r="O18" s="118">
        <v>418885</v>
      </c>
      <c r="P18" s="114">
        <v>927585</v>
      </c>
      <c r="Q18" s="118">
        <v>2640229</v>
      </c>
      <c r="S18" s="114">
        <v>-6642</v>
      </c>
      <c r="T18" s="118">
        <v>-123979</v>
      </c>
      <c r="U18" s="114">
        <v>-2192978</v>
      </c>
      <c r="W18" s="114">
        <v>10915532</v>
      </c>
      <c r="X18" s="114"/>
      <c r="Y18" s="114">
        <v>1660605</v>
      </c>
      <c r="AA18" s="49"/>
    </row>
    <row r="19" spans="1:27" ht="20.100000000000001" customHeight="1" x14ac:dyDescent="0.25">
      <c r="A19" s="56">
        <v>113</v>
      </c>
      <c r="B19" s="73" t="s">
        <v>116</v>
      </c>
      <c r="C19" s="106">
        <f>'MFPRSI Supplemental Info 2016'!D19</f>
        <v>6.0141200000000004E-3</v>
      </c>
      <c r="D19" s="106">
        <v>5.9240300000000003E-3</v>
      </c>
      <c r="E19" s="114">
        <f>'MFPRSI Supplemental Info 2016'!W19</f>
        <v>3760394</v>
      </c>
      <c r="F19" s="114">
        <f t="shared" si="0"/>
        <v>3704065</v>
      </c>
      <c r="G19" s="114">
        <f t="shared" si="1"/>
        <v>-56329</v>
      </c>
      <c r="H19" s="114">
        <f t="shared" si="2"/>
        <v>434890</v>
      </c>
      <c r="I19" s="114">
        <f t="shared" si="3"/>
        <v>434890</v>
      </c>
      <c r="J19" s="114">
        <f t="shared" si="4"/>
        <v>0</v>
      </c>
      <c r="K19" s="118">
        <f t="shared" si="5"/>
        <v>-10431</v>
      </c>
      <c r="L19" s="118">
        <f t="shared" si="6"/>
        <v>0</v>
      </c>
      <c r="M19" s="118">
        <f t="shared" si="7"/>
        <v>-45898</v>
      </c>
      <c r="O19" s="118">
        <v>133327</v>
      </c>
      <c r="P19" s="114">
        <v>295240</v>
      </c>
      <c r="Q19" s="118">
        <v>840356</v>
      </c>
      <c r="S19" s="114">
        <v>-2114</v>
      </c>
      <c r="T19" s="118">
        <v>-39461</v>
      </c>
      <c r="U19" s="114">
        <v>-698001</v>
      </c>
      <c r="W19" s="114">
        <v>3474296</v>
      </c>
      <c r="X19" s="114"/>
      <c r="Y19" s="114">
        <v>528553</v>
      </c>
      <c r="AA19" s="49"/>
    </row>
    <row r="20" spans="1:27" ht="20.100000000000001" customHeight="1" x14ac:dyDescent="0.25">
      <c r="A20" s="56">
        <v>114</v>
      </c>
      <c r="B20" s="73" t="s">
        <v>117</v>
      </c>
      <c r="C20" s="106">
        <f>'MFPRSI Supplemental Info 2016'!D20</f>
        <v>5.9174749999999998E-2</v>
      </c>
      <c r="D20" s="106">
        <v>5.8139049999999998E-2</v>
      </c>
      <c r="E20" s="114">
        <f>'MFPRSI Supplemental Info 2016'!W20</f>
        <v>36999659</v>
      </c>
      <c r="F20" s="114">
        <f t="shared" si="0"/>
        <v>36352077</v>
      </c>
      <c r="G20" s="114">
        <f t="shared" si="1"/>
        <v>-647582</v>
      </c>
      <c r="H20" s="114">
        <f t="shared" si="2"/>
        <v>4268055</v>
      </c>
      <c r="I20" s="114">
        <f t="shared" si="3"/>
        <v>4268055</v>
      </c>
      <c r="J20" s="114">
        <f t="shared" si="4"/>
        <v>0</v>
      </c>
      <c r="K20" s="118">
        <f t="shared" si="5"/>
        <v>-119923</v>
      </c>
      <c r="L20" s="118">
        <f t="shared" si="6"/>
        <v>0</v>
      </c>
      <c r="M20" s="118">
        <f t="shared" si="7"/>
        <v>-527659</v>
      </c>
      <c r="O20" s="118">
        <v>1308482</v>
      </c>
      <c r="P20" s="114">
        <v>2897519</v>
      </c>
      <c r="Q20" s="118">
        <v>8247345</v>
      </c>
      <c r="S20" s="114">
        <v>-20746</v>
      </c>
      <c r="T20" s="118">
        <v>-387275</v>
      </c>
      <c r="U20" s="114">
        <v>-6850255</v>
      </c>
      <c r="W20" s="114">
        <v>34097103</v>
      </c>
      <c r="X20" s="114"/>
      <c r="Y20" s="114">
        <v>5187269</v>
      </c>
      <c r="AA20" s="49"/>
    </row>
    <row r="21" spans="1:27" ht="20.100000000000001" customHeight="1" x14ac:dyDescent="0.25">
      <c r="A21" s="56">
        <v>115</v>
      </c>
      <c r="B21" s="73" t="s">
        <v>118</v>
      </c>
      <c r="C21" s="106">
        <f>'MFPRSI Supplemental Info 2016'!D21</f>
        <v>2.8960600000000002E-3</v>
      </c>
      <c r="D21" s="106">
        <v>2.8931600000000001E-3</v>
      </c>
      <c r="E21" s="114">
        <f>'MFPRSI Supplemental Info 2016'!W21</f>
        <v>1810793</v>
      </c>
      <c r="F21" s="114">
        <f t="shared" si="0"/>
        <v>1808980</v>
      </c>
      <c r="G21" s="114">
        <f t="shared" si="1"/>
        <v>-1813</v>
      </c>
      <c r="H21" s="114">
        <f t="shared" si="2"/>
        <v>212390</v>
      </c>
      <c r="I21" s="114">
        <f t="shared" si="3"/>
        <v>212390</v>
      </c>
      <c r="J21" s="114">
        <f t="shared" si="4"/>
        <v>0</v>
      </c>
      <c r="K21" s="118">
        <f t="shared" si="5"/>
        <v>-336</v>
      </c>
      <c r="L21" s="118">
        <f t="shared" si="6"/>
        <v>0</v>
      </c>
      <c r="M21" s="118">
        <f t="shared" si="7"/>
        <v>-1477</v>
      </c>
      <c r="O21" s="118">
        <v>65114</v>
      </c>
      <c r="P21" s="114">
        <v>144189</v>
      </c>
      <c r="Q21" s="118">
        <v>410411</v>
      </c>
      <c r="S21" s="114">
        <v>-1032</v>
      </c>
      <c r="T21" s="118">
        <v>-19272</v>
      </c>
      <c r="U21" s="114">
        <v>-340888</v>
      </c>
      <c r="W21" s="114">
        <v>1696766</v>
      </c>
      <c r="X21" s="114"/>
      <c r="Y21" s="114">
        <v>258133</v>
      </c>
      <c r="AA21" s="49"/>
    </row>
    <row r="22" spans="1:27" ht="20.100000000000001" customHeight="1" x14ac:dyDescent="0.25">
      <c r="A22" s="56">
        <v>116</v>
      </c>
      <c r="B22" s="73" t="s">
        <v>119</v>
      </c>
      <c r="C22" s="106">
        <f>'MFPRSI Supplemental Info 2016'!D22</f>
        <v>8.1133689999999994E-2</v>
      </c>
      <c r="D22" s="106">
        <v>7.8139829999999993E-2</v>
      </c>
      <c r="E22" s="114">
        <f>'MFPRSI Supplemental Info 2016'!W22</f>
        <v>50729727</v>
      </c>
      <c r="F22" s="114">
        <f t="shared" si="0"/>
        <v>48857783</v>
      </c>
      <c r="G22" s="114">
        <f t="shared" si="1"/>
        <v>-1871944</v>
      </c>
      <c r="H22" s="114">
        <f t="shared" si="2"/>
        <v>5736336</v>
      </c>
      <c r="I22" s="114">
        <f t="shared" si="3"/>
        <v>5736336</v>
      </c>
      <c r="J22" s="114">
        <f t="shared" si="4"/>
        <v>0</v>
      </c>
      <c r="K22" s="118">
        <f t="shared" si="5"/>
        <v>-346656</v>
      </c>
      <c r="L22" s="118">
        <f t="shared" si="6"/>
        <v>0</v>
      </c>
      <c r="M22" s="118">
        <f t="shared" si="7"/>
        <v>-1525288</v>
      </c>
      <c r="O22" s="118">
        <v>1758621</v>
      </c>
      <c r="P22" s="114">
        <v>3894312</v>
      </c>
      <c r="Q22" s="118">
        <v>11084566</v>
      </c>
      <c r="S22" s="114">
        <v>-27883</v>
      </c>
      <c r="T22" s="118">
        <v>-520504</v>
      </c>
      <c r="U22" s="114">
        <v>-9206855</v>
      </c>
      <c r="W22" s="114">
        <v>45827061</v>
      </c>
      <c r="X22" s="114"/>
      <c r="Y22" s="114">
        <v>6971774</v>
      </c>
      <c r="AA22" s="49"/>
    </row>
    <row r="23" spans="1:27" ht="20.100000000000001" customHeight="1" x14ac:dyDescent="0.25">
      <c r="A23" s="56">
        <v>117</v>
      </c>
      <c r="B23" s="73" t="s">
        <v>120</v>
      </c>
      <c r="C23" s="106">
        <f>'MFPRSI Supplemental Info 2016'!D23</f>
        <v>2.8899199999999998E-3</v>
      </c>
      <c r="D23" s="106">
        <v>3.1374200000000001E-3</v>
      </c>
      <c r="E23" s="114">
        <f>'MFPRSI Supplemental Info 2016'!W23</f>
        <v>1806954</v>
      </c>
      <c r="F23" s="114">
        <f t="shared" si="0"/>
        <v>1961706</v>
      </c>
      <c r="G23" s="114">
        <f t="shared" si="1"/>
        <v>154752</v>
      </c>
      <c r="H23" s="114">
        <f t="shared" si="2"/>
        <v>230322</v>
      </c>
      <c r="I23" s="114">
        <f t="shared" si="3"/>
        <v>230322</v>
      </c>
      <c r="J23" s="114">
        <f t="shared" si="4"/>
        <v>0</v>
      </c>
      <c r="K23" s="118">
        <f t="shared" si="5"/>
        <v>28658</v>
      </c>
      <c r="L23" s="118">
        <f t="shared" si="6"/>
        <v>126094</v>
      </c>
      <c r="M23" s="118">
        <f t="shared" si="7"/>
        <v>0</v>
      </c>
      <c r="O23" s="118">
        <v>70611</v>
      </c>
      <c r="P23" s="114">
        <v>156362</v>
      </c>
      <c r="Q23" s="118">
        <v>445060</v>
      </c>
      <c r="S23" s="114">
        <v>-1120</v>
      </c>
      <c r="T23" s="118">
        <v>-20899</v>
      </c>
      <c r="U23" s="114">
        <v>-369668</v>
      </c>
      <c r="W23" s="114">
        <v>1840019</v>
      </c>
      <c r="X23" s="114"/>
      <c r="Y23" s="114">
        <v>279926</v>
      </c>
      <c r="AA23" s="49"/>
    </row>
    <row r="24" spans="1:27" ht="20.100000000000001" customHeight="1" x14ac:dyDescent="0.25">
      <c r="A24" s="56">
        <v>118</v>
      </c>
      <c r="B24" s="73" t="s">
        <v>121</v>
      </c>
      <c r="C24" s="106">
        <f>'MFPRSI Supplemental Info 2016'!D24</f>
        <v>0.18298306</v>
      </c>
      <c r="D24" s="106">
        <v>0.18007197999999999</v>
      </c>
      <c r="E24" s="114">
        <f>'MFPRSI Supplemental Info 2016'!W24</f>
        <v>114412167</v>
      </c>
      <c r="F24" s="114">
        <f t="shared" si="0"/>
        <v>112591974</v>
      </c>
      <c r="G24" s="114">
        <f t="shared" si="1"/>
        <v>-1820193</v>
      </c>
      <c r="H24" s="114">
        <f t="shared" si="2"/>
        <v>13219293</v>
      </c>
      <c r="I24" s="114">
        <f t="shared" si="3"/>
        <v>13219293</v>
      </c>
      <c r="J24" s="114">
        <f t="shared" si="4"/>
        <v>0</v>
      </c>
      <c r="K24" s="118">
        <f t="shared" si="5"/>
        <v>-337073</v>
      </c>
      <c r="L24" s="118">
        <f t="shared" si="6"/>
        <v>0</v>
      </c>
      <c r="M24" s="118">
        <f t="shared" si="7"/>
        <v>-1483120</v>
      </c>
      <c r="O24" s="118">
        <v>4052715</v>
      </c>
      <c r="P24" s="114">
        <v>8974376</v>
      </c>
      <c r="Q24" s="118">
        <v>25544210</v>
      </c>
      <c r="S24" s="114">
        <v>-64257</v>
      </c>
      <c r="T24" s="118">
        <v>-1199493</v>
      </c>
      <c r="U24" s="114">
        <v>-21217049</v>
      </c>
      <c r="W24" s="114">
        <v>105607726</v>
      </c>
      <c r="X24" s="114"/>
      <c r="Y24" s="114">
        <v>16066342</v>
      </c>
      <c r="AA24" s="49"/>
    </row>
    <row r="25" spans="1:27" ht="20.100000000000001" customHeight="1" x14ac:dyDescent="0.25">
      <c r="A25" s="56">
        <v>119</v>
      </c>
      <c r="B25" s="73" t="s">
        <v>122</v>
      </c>
      <c r="C25" s="106">
        <f>'MFPRSI Supplemental Info 2016'!D25</f>
        <v>2.3360099999999999E-3</v>
      </c>
      <c r="D25" s="106">
        <v>2.1830500000000002E-3</v>
      </c>
      <c r="E25" s="114">
        <f>'MFPRSI Supplemental Info 2016'!W25</f>
        <v>1460616</v>
      </c>
      <c r="F25" s="114">
        <f t="shared" si="0"/>
        <v>1364976</v>
      </c>
      <c r="G25" s="114">
        <f t="shared" si="1"/>
        <v>-95640</v>
      </c>
      <c r="H25" s="114">
        <f t="shared" si="2"/>
        <v>160260</v>
      </c>
      <c r="I25" s="114">
        <f t="shared" si="3"/>
        <v>160260</v>
      </c>
      <c r="J25" s="114">
        <f t="shared" si="4"/>
        <v>0</v>
      </c>
      <c r="K25" s="118">
        <f t="shared" si="5"/>
        <v>-17711</v>
      </c>
      <c r="L25" s="118">
        <f t="shared" si="6"/>
        <v>0</v>
      </c>
      <c r="M25" s="118">
        <f t="shared" si="7"/>
        <v>-77929</v>
      </c>
      <c r="O25" s="118">
        <v>49132</v>
      </c>
      <c r="P25" s="114">
        <v>108798</v>
      </c>
      <c r="Q25" s="118">
        <v>309678</v>
      </c>
      <c r="S25" s="114">
        <v>-779</v>
      </c>
      <c r="T25" s="118">
        <v>-14542</v>
      </c>
      <c r="U25" s="114">
        <v>-257219</v>
      </c>
      <c r="W25" s="114">
        <v>1280304</v>
      </c>
      <c r="X25" s="114"/>
      <c r="Y25" s="114">
        <v>194776</v>
      </c>
      <c r="AA25" s="49"/>
    </row>
    <row r="26" spans="1:27" ht="20.100000000000001" customHeight="1" x14ac:dyDescent="0.25">
      <c r="A26" s="56">
        <v>120</v>
      </c>
      <c r="B26" s="73" t="s">
        <v>123</v>
      </c>
      <c r="C26" s="106">
        <f>'MFPRSI Supplemental Info 2016'!D26</f>
        <v>4.9532850000000003E-2</v>
      </c>
      <c r="D26" s="106">
        <v>4.7848679999999998E-2</v>
      </c>
      <c r="E26" s="114">
        <f>'MFPRSI Supplemental Info 2016'!W26</f>
        <v>30970956</v>
      </c>
      <c r="F26" s="114">
        <f t="shared" si="0"/>
        <v>29917910</v>
      </c>
      <c r="G26" s="114">
        <f t="shared" si="1"/>
        <v>-1053046</v>
      </c>
      <c r="H26" s="114">
        <f t="shared" si="2"/>
        <v>3512627</v>
      </c>
      <c r="I26" s="114">
        <f t="shared" si="3"/>
        <v>3512627</v>
      </c>
      <c r="J26" s="114">
        <f t="shared" si="4"/>
        <v>0</v>
      </c>
      <c r="K26" s="118">
        <f t="shared" si="5"/>
        <v>-195009</v>
      </c>
      <c r="L26" s="118">
        <f t="shared" si="6"/>
        <v>0</v>
      </c>
      <c r="M26" s="118">
        <f t="shared" si="7"/>
        <v>-858037</v>
      </c>
      <c r="O26" s="118">
        <v>1076886</v>
      </c>
      <c r="P26" s="114">
        <v>2384670</v>
      </c>
      <c r="Q26" s="118">
        <v>6787599</v>
      </c>
      <c r="S26" s="114">
        <v>-17074</v>
      </c>
      <c r="T26" s="118">
        <v>-318729</v>
      </c>
      <c r="U26" s="114">
        <v>-5637789</v>
      </c>
      <c r="W26" s="114">
        <v>28062057</v>
      </c>
      <c r="X26" s="114"/>
      <c r="Y26" s="114">
        <v>4269144</v>
      </c>
      <c r="AA26" s="49"/>
    </row>
    <row r="27" spans="1:27" ht="20.100000000000001" customHeight="1" x14ac:dyDescent="0.25">
      <c r="A27" s="56">
        <v>121</v>
      </c>
      <c r="B27" s="73" t="s">
        <v>124</v>
      </c>
      <c r="C27" s="106">
        <f>'MFPRSI Supplemental Info 2016'!D27</f>
        <v>2.16914E-3</v>
      </c>
      <c r="D27" s="106">
        <v>2.3517400000000002E-3</v>
      </c>
      <c r="E27" s="114">
        <f>'MFPRSI Supplemental Info 2016'!W27</f>
        <v>1356279</v>
      </c>
      <c r="F27" s="114">
        <f t="shared" si="0"/>
        <v>1470451</v>
      </c>
      <c r="G27" s="114">
        <f t="shared" si="1"/>
        <v>114172</v>
      </c>
      <c r="H27" s="114">
        <f t="shared" si="2"/>
        <v>172644</v>
      </c>
      <c r="I27" s="114">
        <f t="shared" si="3"/>
        <v>172644</v>
      </c>
      <c r="J27" s="114">
        <f t="shared" si="4"/>
        <v>0</v>
      </c>
      <c r="K27" s="118">
        <f t="shared" si="5"/>
        <v>21143</v>
      </c>
      <c r="L27" s="118">
        <f t="shared" si="6"/>
        <v>93029</v>
      </c>
      <c r="M27" s="118">
        <f t="shared" si="7"/>
        <v>0</v>
      </c>
      <c r="O27" s="118">
        <v>52928</v>
      </c>
      <c r="P27" s="114">
        <v>117205</v>
      </c>
      <c r="Q27" s="118">
        <v>333607</v>
      </c>
      <c r="S27" s="114">
        <v>-839</v>
      </c>
      <c r="T27" s="118">
        <v>-15665</v>
      </c>
      <c r="U27" s="114">
        <v>-277095</v>
      </c>
      <c r="W27" s="114">
        <v>1379237</v>
      </c>
      <c r="X27" s="114"/>
      <c r="Y27" s="114">
        <v>209826</v>
      </c>
      <c r="AA27" s="49"/>
    </row>
    <row r="28" spans="1:27" ht="20.100000000000001" customHeight="1" x14ac:dyDescent="0.25">
      <c r="A28" s="56">
        <v>122</v>
      </c>
      <c r="B28" s="73" t="s">
        <v>125</v>
      </c>
      <c r="C28" s="106">
        <f>'MFPRSI Supplemental Info 2016'!D28</f>
        <v>1.22988E-3</v>
      </c>
      <c r="D28" s="106">
        <v>1.20476E-3</v>
      </c>
      <c r="E28" s="114">
        <f>'MFPRSI Supplemental Info 2016'!W28</f>
        <v>768996</v>
      </c>
      <c r="F28" s="114">
        <f t="shared" si="0"/>
        <v>753289</v>
      </c>
      <c r="G28" s="114">
        <f t="shared" si="1"/>
        <v>-15707</v>
      </c>
      <c r="H28" s="114">
        <f t="shared" si="2"/>
        <v>88443</v>
      </c>
      <c r="I28" s="114">
        <f t="shared" si="3"/>
        <v>88443</v>
      </c>
      <c r="J28" s="114">
        <f t="shared" si="4"/>
        <v>0</v>
      </c>
      <c r="K28" s="118">
        <f t="shared" si="5"/>
        <v>-2909</v>
      </c>
      <c r="L28" s="118">
        <f t="shared" si="6"/>
        <v>0</v>
      </c>
      <c r="M28" s="118">
        <f t="shared" si="7"/>
        <v>-12798</v>
      </c>
      <c r="O28" s="118">
        <v>27114</v>
      </c>
      <c r="P28" s="114">
        <v>60043</v>
      </c>
      <c r="Q28" s="118">
        <v>170902</v>
      </c>
      <c r="S28" s="114">
        <v>-430</v>
      </c>
      <c r="T28" s="118">
        <v>-8025</v>
      </c>
      <c r="U28" s="114">
        <v>-141951</v>
      </c>
      <c r="W28" s="114">
        <v>706562</v>
      </c>
      <c r="X28" s="114"/>
      <c r="Y28" s="114">
        <v>107491</v>
      </c>
      <c r="AA28" s="49"/>
    </row>
    <row r="29" spans="1:27" ht="20.100000000000001" customHeight="1" x14ac:dyDescent="0.25">
      <c r="A29" s="56">
        <v>123</v>
      </c>
      <c r="B29" s="73" t="s">
        <v>126</v>
      </c>
      <c r="C29" s="106">
        <f>'MFPRSI Supplemental Info 2016'!D29</f>
        <v>3.4241300000000001E-3</v>
      </c>
      <c r="D29" s="106">
        <v>3.4895099999999999E-3</v>
      </c>
      <c r="E29" s="114">
        <f>'MFPRSI Supplemental Info 2016'!W29</f>
        <v>2140975</v>
      </c>
      <c r="F29" s="114">
        <f t="shared" si="0"/>
        <v>2181854</v>
      </c>
      <c r="G29" s="114">
        <f t="shared" si="1"/>
        <v>40879</v>
      </c>
      <c r="H29" s="114">
        <f t="shared" si="2"/>
        <v>256169</v>
      </c>
      <c r="I29" s="114">
        <f t="shared" si="3"/>
        <v>256169</v>
      </c>
      <c r="J29" s="114">
        <f t="shared" si="4"/>
        <v>0</v>
      </c>
      <c r="K29" s="118">
        <f t="shared" si="5"/>
        <v>7570</v>
      </c>
      <c r="L29" s="118">
        <f t="shared" si="6"/>
        <v>33309</v>
      </c>
      <c r="M29" s="118">
        <f t="shared" si="7"/>
        <v>0</v>
      </c>
      <c r="O29" s="118">
        <v>78535</v>
      </c>
      <c r="P29" s="114">
        <v>173909</v>
      </c>
      <c r="Q29" s="118">
        <v>495006</v>
      </c>
      <c r="S29" s="114">
        <v>-1245</v>
      </c>
      <c r="T29" s="118">
        <v>-23244</v>
      </c>
      <c r="U29" s="114">
        <v>-411153</v>
      </c>
      <c r="W29" s="114">
        <v>2046511</v>
      </c>
      <c r="X29" s="114"/>
      <c r="Y29" s="114">
        <v>311340</v>
      </c>
      <c r="AA29" s="49"/>
    </row>
    <row r="30" spans="1:27" ht="20.100000000000001" customHeight="1" x14ac:dyDescent="0.25">
      <c r="A30" s="56">
        <v>124</v>
      </c>
      <c r="B30" s="73" t="s">
        <v>127</v>
      </c>
      <c r="C30" s="106">
        <f>'MFPRSI Supplemental Info 2016'!D30</f>
        <v>1.4646299999999999E-2</v>
      </c>
      <c r="D30" s="106">
        <v>1.494614E-2</v>
      </c>
      <c r="E30" s="114">
        <f>'MFPRSI Supplemental Info 2016'!W30</f>
        <v>9157759</v>
      </c>
      <c r="F30" s="114">
        <f t="shared" si="0"/>
        <v>9345237</v>
      </c>
      <c r="G30" s="114">
        <f t="shared" si="1"/>
        <v>187478</v>
      </c>
      <c r="H30" s="114">
        <f t="shared" si="2"/>
        <v>1097214</v>
      </c>
      <c r="I30" s="114">
        <f t="shared" si="3"/>
        <v>1097214</v>
      </c>
      <c r="J30" s="114">
        <f t="shared" si="4"/>
        <v>0</v>
      </c>
      <c r="K30" s="118">
        <f t="shared" si="5"/>
        <v>34718</v>
      </c>
      <c r="L30" s="118">
        <f t="shared" si="6"/>
        <v>152760</v>
      </c>
      <c r="M30" s="118">
        <f t="shared" si="7"/>
        <v>0</v>
      </c>
      <c r="O30" s="118">
        <v>336379</v>
      </c>
      <c r="P30" s="114">
        <v>744882</v>
      </c>
      <c r="Q30" s="118">
        <v>2120192</v>
      </c>
      <c r="S30" s="114">
        <v>-5333</v>
      </c>
      <c r="T30" s="118">
        <v>-99559</v>
      </c>
      <c r="U30" s="114">
        <v>-1761034</v>
      </c>
      <c r="W30" s="114">
        <v>8765538</v>
      </c>
      <c r="X30" s="114"/>
      <c r="Y30" s="114">
        <v>1333521</v>
      </c>
      <c r="AA30" s="49"/>
    </row>
    <row r="31" spans="1:27" ht="20.100000000000001" customHeight="1" x14ac:dyDescent="0.25">
      <c r="A31" s="56">
        <v>125</v>
      </c>
      <c r="B31" s="73" t="s">
        <v>128</v>
      </c>
      <c r="C31" s="106">
        <f>'MFPRSI Supplemental Info 2016'!D31</f>
        <v>7.10751E-3</v>
      </c>
      <c r="D31" s="106">
        <v>7.2040100000000003E-3</v>
      </c>
      <c r="E31" s="114">
        <f>'MFPRSI Supplemental Info 2016'!W31</f>
        <v>4444048</v>
      </c>
      <c r="F31" s="114">
        <f t="shared" si="0"/>
        <v>4504386</v>
      </c>
      <c r="G31" s="114">
        <f t="shared" si="1"/>
        <v>60338</v>
      </c>
      <c r="H31" s="114">
        <f t="shared" si="2"/>
        <v>528855</v>
      </c>
      <c r="I31" s="114">
        <f t="shared" si="3"/>
        <v>528855</v>
      </c>
      <c r="J31" s="114">
        <f t="shared" si="4"/>
        <v>0</v>
      </c>
      <c r="K31" s="118">
        <f t="shared" si="5"/>
        <v>11174</v>
      </c>
      <c r="L31" s="118">
        <f t="shared" si="6"/>
        <v>49164</v>
      </c>
      <c r="M31" s="118">
        <f t="shared" si="7"/>
        <v>0</v>
      </c>
      <c r="O31" s="118">
        <v>162134</v>
      </c>
      <c r="P31" s="114">
        <v>359032</v>
      </c>
      <c r="Q31" s="118">
        <v>1021929</v>
      </c>
      <c r="S31" s="114">
        <v>-2571</v>
      </c>
      <c r="T31" s="118">
        <v>-47987</v>
      </c>
      <c r="U31" s="114">
        <v>-848815</v>
      </c>
      <c r="W31" s="114">
        <v>4224972</v>
      </c>
      <c r="X31" s="114"/>
      <c r="Y31" s="114">
        <v>642755</v>
      </c>
      <c r="AA31" s="49"/>
    </row>
    <row r="32" spans="1:27" ht="20.100000000000001" customHeight="1" x14ac:dyDescent="0.25">
      <c r="A32" s="56">
        <v>126</v>
      </c>
      <c r="B32" s="73" t="s">
        <v>129</v>
      </c>
      <c r="C32" s="106">
        <f>'MFPRSI Supplemental Info 2016'!D32</f>
        <v>4.0621600000000004E-3</v>
      </c>
      <c r="D32" s="106">
        <v>4.1293099999999998E-3</v>
      </c>
      <c r="E32" s="114">
        <f>'MFPRSI Supplemental Info 2016'!W32</f>
        <v>2539910</v>
      </c>
      <c r="F32" s="114">
        <f t="shared" si="0"/>
        <v>2581896</v>
      </c>
      <c r="G32" s="114">
        <f t="shared" si="1"/>
        <v>41986</v>
      </c>
      <c r="H32" s="114">
        <f t="shared" si="2"/>
        <v>303137</v>
      </c>
      <c r="I32" s="114">
        <f t="shared" si="3"/>
        <v>303137</v>
      </c>
      <c r="J32" s="114">
        <f t="shared" si="4"/>
        <v>0</v>
      </c>
      <c r="K32" s="118">
        <f t="shared" si="5"/>
        <v>7775</v>
      </c>
      <c r="L32" s="118">
        <f t="shared" si="6"/>
        <v>34211</v>
      </c>
      <c r="M32" s="118">
        <f t="shared" si="7"/>
        <v>0</v>
      </c>
      <c r="O32" s="118">
        <v>92935</v>
      </c>
      <c r="P32" s="114">
        <v>205795</v>
      </c>
      <c r="Q32" s="118">
        <v>585765</v>
      </c>
      <c r="S32" s="114">
        <v>-1474</v>
      </c>
      <c r="T32" s="118">
        <v>-27506</v>
      </c>
      <c r="U32" s="114">
        <v>-486537</v>
      </c>
      <c r="W32" s="114">
        <v>2421737</v>
      </c>
      <c r="X32" s="114"/>
      <c r="Y32" s="114">
        <v>368424</v>
      </c>
      <c r="AA32" s="49"/>
    </row>
    <row r="33" spans="1:27" ht="20.100000000000001" customHeight="1" x14ac:dyDescent="0.25">
      <c r="A33" s="56">
        <v>127</v>
      </c>
      <c r="B33" s="73" t="s">
        <v>130</v>
      </c>
      <c r="C33" s="106">
        <f>'MFPRSI Supplemental Info 2016'!D33</f>
        <v>4.4648400000000003E-3</v>
      </c>
      <c r="D33" s="106">
        <v>4.5580999999999998E-3</v>
      </c>
      <c r="E33" s="114">
        <f>'MFPRSI Supplemental Info 2016'!W33</f>
        <v>2791690</v>
      </c>
      <c r="F33" s="114">
        <f t="shared" si="0"/>
        <v>2850002</v>
      </c>
      <c r="G33" s="114">
        <f t="shared" si="1"/>
        <v>58312</v>
      </c>
      <c r="H33" s="114">
        <f t="shared" si="2"/>
        <v>334615</v>
      </c>
      <c r="I33" s="114">
        <f t="shared" si="3"/>
        <v>334615</v>
      </c>
      <c r="J33" s="114">
        <f t="shared" si="4"/>
        <v>0</v>
      </c>
      <c r="K33" s="118">
        <f t="shared" si="5"/>
        <v>10799</v>
      </c>
      <c r="L33" s="118">
        <f t="shared" si="6"/>
        <v>47513</v>
      </c>
      <c r="M33" s="118">
        <f t="shared" si="7"/>
        <v>0</v>
      </c>
      <c r="O33" s="118">
        <v>102585</v>
      </c>
      <c r="P33" s="114">
        <v>227165</v>
      </c>
      <c r="Q33" s="118">
        <v>646592</v>
      </c>
      <c r="S33" s="114">
        <v>-1627</v>
      </c>
      <c r="T33" s="118">
        <v>-30362</v>
      </c>
      <c r="U33" s="114">
        <v>-537060</v>
      </c>
      <c r="W33" s="114">
        <v>2673212</v>
      </c>
      <c r="X33" s="114"/>
      <c r="Y33" s="114">
        <v>406682</v>
      </c>
      <c r="AA33" s="49"/>
    </row>
    <row r="34" spans="1:27" ht="20.100000000000001" customHeight="1" x14ac:dyDescent="0.25">
      <c r="A34" s="56">
        <v>128</v>
      </c>
      <c r="B34" s="73" t="s">
        <v>131</v>
      </c>
      <c r="C34" s="106">
        <f>'MFPRSI Supplemental Info 2016'!D34</f>
        <v>3.6971280000000002E-2</v>
      </c>
      <c r="D34" s="106">
        <v>3.6486350000000001E-2</v>
      </c>
      <c r="E34" s="114">
        <f>'MFPRSI Supplemental Info 2016'!W34</f>
        <v>23116697</v>
      </c>
      <c r="F34" s="114">
        <f t="shared" si="0"/>
        <v>22813489</v>
      </c>
      <c r="G34" s="114">
        <f t="shared" si="1"/>
        <v>-303208</v>
      </c>
      <c r="H34" s="114">
        <f t="shared" si="2"/>
        <v>2678505</v>
      </c>
      <c r="I34" s="114">
        <f t="shared" si="3"/>
        <v>2678505</v>
      </c>
      <c r="J34" s="114">
        <f t="shared" si="4"/>
        <v>0</v>
      </c>
      <c r="K34" s="118">
        <f t="shared" si="5"/>
        <v>-56150</v>
      </c>
      <c r="L34" s="118">
        <f t="shared" si="6"/>
        <v>0</v>
      </c>
      <c r="M34" s="118">
        <f t="shared" si="7"/>
        <v>-247058</v>
      </c>
      <c r="O34" s="118">
        <v>821164</v>
      </c>
      <c r="P34" s="114">
        <v>1818397</v>
      </c>
      <c r="Q34" s="118">
        <v>5175790</v>
      </c>
      <c r="S34" s="114">
        <v>-13020</v>
      </c>
      <c r="T34" s="118">
        <v>-243042</v>
      </c>
      <c r="U34" s="114">
        <v>-4299018</v>
      </c>
      <c r="W34" s="114">
        <v>21398334</v>
      </c>
      <c r="X34" s="114"/>
      <c r="Y34" s="114">
        <v>3255377</v>
      </c>
      <c r="AA34" s="49"/>
    </row>
    <row r="35" spans="1:27" ht="20.100000000000001" customHeight="1" x14ac:dyDescent="0.25">
      <c r="A35" s="56">
        <v>129</v>
      </c>
      <c r="B35" s="73" t="s">
        <v>132</v>
      </c>
      <c r="C35" s="106">
        <f>'MFPRSI Supplemental Info 2016'!D35</f>
        <v>8.1036000000000007E-3</v>
      </c>
      <c r="D35" s="106">
        <v>8.3147099999999995E-3</v>
      </c>
      <c r="E35" s="114">
        <f>'MFPRSI Supplemental Info 2016'!W35</f>
        <v>5066865</v>
      </c>
      <c r="F35" s="114">
        <f t="shared" si="0"/>
        <v>5198863</v>
      </c>
      <c r="G35" s="114">
        <f t="shared" si="1"/>
        <v>131998</v>
      </c>
      <c r="H35" s="114">
        <f t="shared" si="2"/>
        <v>610393</v>
      </c>
      <c r="I35" s="114">
        <f t="shared" si="3"/>
        <v>610393</v>
      </c>
      <c r="J35" s="114">
        <f t="shared" si="4"/>
        <v>0</v>
      </c>
      <c r="K35" s="118">
        <f t="shared" si="5"/>
        <v>24444</v>
      </c>
      <c r="L35" s="118">
        <f t="shared" si="6"/>
        <v>107554</v>
      </c>
      <c r="M35" s="118">
        <f t="shared" si="7"/>
        <v>0</v>
      </c>
      <c r="O35" s="118">
        <v>187131</v>
      </c>
      <c r="P35" s="114">
        <v>414386</v>
      </c>
      <c r="Q35" s="118">
        <v>1179488</v>
      </c>
      <c r="S35" s="114">
        <v>-2967</v>
      </c>
      <c r="T35" s="118">
        <v>-55386</v>
      </c>
      <c r="U35" s="114">
        <v>-979684</v>
      </c>
      <c r="W35" s="114">
        <v>4876370</v>
      </c>
      <c r="X35" s="114"/>
      <c r="Y35" s="114">
        <v>741853</v>
      </c>
      <c r="AA35" s="49"/>
    </row>
    <row r="36" spans="1:27" ht="20.100000000000001" customHeight="1" x14ac:dyDescent="0.25">
      <c r="A36" s="56">
        <v>130</v>
      </c>
      <c r="B36" s="77" t="s">
        <v>133</v>
      </c>
      <c r="C36" s="106">
        <f>'MFPRSI Supplemental Info 2016'!D36</f>
        <v>2.7690200000000001E-3</v>
      </c>
      <c r="D36" s="106">
        <v>2.6952E-3</v>
      </c>
      <c r="E36" s="114">
        <f>'MFPRSI Supplemental Info 2016'!W36</f>
        <v>1731360</v>
      </c>
      <c r="F36" s="114">
        <f t="shared" si="0"/>
        <v>1685203</v>
      </c>
      <c r="G36" s="114">
        <f t="shared" si="1"/>
        <v>-46157</v>
      </c>
      <c r="H36" s="114">
        <f t="shared" si="2"/>
        <v>197858</v>
      </c>
      <c r="I36" s="114">
        <f t="shared" si="3"/>
        <v>197858</v>
      </c>
      <c r="J36" s="114">
        <f t="shared" si="4"/>
        <v>0</v>
      </c>
      <c r="K36" s="118">
        <f t="shared" si="5"/>
        <v>-8548</v>
      </c>
      <c r="L36" s="118">
        <f t="shared" si="6"/>
        <v>0</v>
      </c>
      <c r="M36" s="118">
        <f t="shared" si="7"/>
        <v>-37609</v>
      </c>
      <c r="O36" s="118">
        <v>60658</v>
      </c>
      <c r="P36" s="114">
        <v>134323</v>
      </c>
      <c r="Q36" s="118">
        <v>382329</v>
      </c>
      <c r="S36" s="114">
        <v>-962</v>
      </c>
      <c r="T36" s="118">
        <v>-17953</v>
      </c>
      <c r="U36" s="114">
        <v>-317563</v>
      </c>
      <c r="W36" s="114">
        <v>1580668</v>
      </c>
      <c r="X36" s="114"/>
      <c r="Y36" s="114">
        <v>240471</v>
      </c>
      <c r="AA36" s="49"/>
    </row>
    <row r="37" spans="1:27" ht="20.100000000000001" customHeight="1" x14ac:dyDescent="0.25">
      <c r="A37" s="56">
        <v>131</v>
      </c>
      <c r="B37" s="78" t="s">
        <v>134</v>
      </c>
      <c r="C37" s="106">
        <f>'MFPRSI Supplemental Info 2016'!D37</f>
        <v>3.4334999999999999E-3</v>
      </c>
      <c r="D37" s="106">
        <v>3.5157700000000001E-3</v>
      </c>
      <c r="E37" s="114">
        <f>'MFPRSI Supplemental Info 2016'!W37</f>
        <v>2146833</v>
      </c>
      <c r="F37" s="114">
        <f t="shared" si="0"/>
        <v>2198274</v>
      </c>
      <c r="G37" s="114">
        <f t="shared" si="1"/>
        <v>51441</v>
      </c>
      <c r="H37" s="114">
        <f t="shared" si="2"/>
        <v>258097</v>
      </c>
      <c r="I37" s="114">
        <f t="shared" si="3"/>
        <v>258097</v>
      </c>
      <c r="J37" s="114">
        <f t="shared" si="4"/>
        <v>0</v>
      </c>
      <c r="K37" s="118">
        <f t="shared" si="5"/>
        <v>9526</v>
      </c>
      <c r="L37" s="118">
        <f t="shared" si="6"/>
        <v>41915</v>
      </c>
      <c r="M37" s="118">
        <f t="shared" si="7"/>
        <v>0</v>
      </c>
      <c r="O37" s="118">
        <v>79126</v>
      </c>
      <c r="P37" s="114">
        <v>175218</v>
      </c>
      <c r="Q37" s="118">
        <v>498731</v>
      </c>
      <c r="S37" s="114">
        <v>-1255</v>
      </c>
      <c r="T37" s="118">
        <v>-23419</v>
      </c>
      <c r="U37" s="114">
        <v>-414247</v>
      </c>
      <c r="W37" s="114">
        <v>2061911</v>
      </c>
      <c r="X37" s="114"/>
      <c r="Y37" s="114">
        <v>313683</v>
      </c>
      <c r="AA37" s="49"/>
    </row>
    <row r="38" spans="1:27" ht="20.100000000000001" customHeight="1" x14ac:dyDescent="0.25">
      <c r="A38" s="56">
        <v>132</v>
      </c>
      <c r="B38" s="77" t="s">
        <v>135</v>
      </c>
      <c r="C38" s="106">
        <f>'MFPRSI Supplemental Info 2016'!D38</f>
        <v>2.20171E-3</v>
      </c>
      <c r="D38" s="106">
        <v>2.1241699999999999E-3</v>
      </c>
      <c r="E38" s="114">
        <f>'MFPRSI Supplemental Info 2016'!W38</f>
        <v>1376643</v>
      </c>
      <c r="F38" s="114">
        <f t="shared" si="0"/>
        <v>1328161</v>
      </c>
      <c r="G38" s="114">
        <f t="shared" si="1"/>
        <v>-48482</v>
      </c>
      <c r="H38" s="114">
        <f t="shared" si="2"/>
        <v>155938</v>
      </c>
      <c r="I38" s="114">
        <f t="shared" si="3"/>
        <v>155938</v>
      </c>
      <c r="J38" s="114">
        <f t="shared" si="4"/>
        <v>0</v>
      </c>
      <c r="K38" s="118">
        <f t="shared" si="5"/>
        <v>-8978</v>
      </c>
      <c r="L38" s="118">
        <f t="shared" si="6"/>
        <v>0</v>
      </c>
      <c r="M38" s="118">
        <f t="shared" si="7"/>
        <v>-39504</v>
      </c>
      <c r="O38" s="118">
        <v>47807</v>
      </c>
      <c r="P38" s="114">
        <v>105864</v>
      </c>
      <c r="Q38" s="118">
        <v>301325</v>
      </c>
      <c r="S38" s="114">
        <v>-758</v>
      </c>
      <c r="T38" s="118">
        <v>-14149</v>
      </c>
      <c r="U38" s="114">
        <v>-250281</v>
      </c>
      <c r="W38" s="114">
        <v>1245773</v>
      </c>
      <c r="X38" s="114"/>
      <c r="Y38" s="114">
        <v>189522</v>
      </c>
      <c r="AA38" s="49"/>
    </row>
    <row r="39" spans="1:27" ht="20.100000000000001" customHeight="1" x14ac:dyDescent="0.25">
      <c r="A39" s="56">
        <v>133</v>
      </c>
      <c r="B39" s="78" t="s">
        <v>136</v>
      </c>
      <c r="C39" s="106">
        <f>'MFPRSI Supplemental Info 2016'!D39</f>
        <v>1.8995700000000001E-2</v>
      </c>
      <c r="D39" s="106">
        <v>2.0101250000000001E-2</v>
      </c>
      <c r="E39" s="114">
        <f>'MFPRSI Supplemental Info 2016'!W39</f>
        <v>11877269</v>
      </c>
      <c r="F39" s="114">
        <f t="shared" si="0"/>
        <v>12568526</v>
      </c>
      <c r="G39" s="114">
        <f t="shared" si="1"/>
        <v>691257</v>
      </c>
      <c r="H39" s="114">
        <f t="shared" si="2"/>
        <v>1475656</v>
      </c>
      <c r="I39" s="114">
        <f t="shared" si="3"/>
        <v>1475656</v>
      </c>
      <c r="J39" s="114">
        <f t="shared" si="4"/>
        <v>0</v>
      </c>
      <c r="K39" s="118">
        <f t="shared" si="5"/>
        <v>128011</v>
      </c>
      <c r="L39" s="118">
        <f t="shared" si="6"/>
        <v>563246</v>
      </c>
      <c r="M39" s="118">
        <f t="shared" si="7"/>
        <v>0</v>
      </c>
      <c r="O39" s="118">
        <v>452400</v>
      </c>
      <c r="P39" s="114">
        <v>1001801</v>
      </c>
      <c r="Q39" s="118">
        <v>2851473</v>
      </c>
      <c r="S39" s="114">
        <v>-7173</v>
      </c>
      <c r="T39" s="118">
        <v>-133898</v>
      </c>
      <c r="U39" s="114">
        <v>-2368437</v>
      </c>
      <c r="W39" s="114">
        <v>11788882</v>
      </c>
      <c r="X39" s="114"/>
      <c r="Y39" s="114">
        <v>1793469</v>
      </c>
      <c r="AA39" s="49"/>
    </row>
    <row r="40" spans="1:27" ht="20.100000000000001" customHeight="1" x14ac:dyDescent="0.25">
      <c r="A40" s="56">
        <v>134</v>
      </c>
      <c r="B40" s="77" t="s">
        <v>137</v>
      </c>
      <c r="C40" s="106">
        <f>'MFPRSI Supplemental Info 2016'!D40</f>
        <v>1.560279E-2</v>
      </c>
      <c r="D40" s="106">
        <v>1.4803739999999999E-2</v>
      </c>
      <c r="E40" s="114">
        <f>'MFPRSI Supplemental Info 2016'!W40</f>
        <v>9755815</v>
      </c>
      <c r="F40" s="114">
        <f t="shared" si="0"/>
        <v>9256200</v>
      </c>
      <c r="G40" s="114">
        <f t="shared" si="1"/>
        <v>-499615</v>
      </c>
      <c r="H40" s="114">
        <f t="shared" si="2"/>
        <v>1086760</v>
      </c>
      <c r="I40" s="114">
        <f t="shared" si="3"/>
        <v>1086760</v>
      </c>
      <c r="J40" s="114">
        <f t="shared" si="4"/>
        <v>0</v>
      </c>
      <c r="K40" s="118">
        <f t="shared" si="5"/>
        <v>-92521</v>
      </c>
      <c r="L40" s="118">
        <f t="shared" si="6"/>
        <v>0</v>
      </c>
      <c r="M40" s="118">
        <f t="shared" si="7"/>
        <v>-407094</v>
      </c>
      <c r="O40" s="118">
        <v>333174</v>
      </c>
      <c r="P40" s="114">
        <v>737785</v>
      </c>
      <c r="Q40" s="118">
        <v>2099992</v>
      </c>
      <c r="S40" s="114">
        <v>-5283</v>
      </c>
      <c r="T40" s="118">
        <v>-98610</v>
      </c>
      <c r="U40" s="114">
        <v>-1744256</v>
      </c>
      <c r="W40" s="114">
        <v>8682024</v>
      </c>
      <c r="X40" s="114"/>
      <c r="Y40" s="114">
        <v>1320816</v>
      </c>
      <c r="AA40" s="49"/>
    </row>
    <row r="41" spans="1:27" ht="20.100000000000001" customHeight="1" x14ac:dyDescent="0.25">
      <c r="A41" s="56">
        <v>135</v>
      </c>
      <c r="B41" s="78" t="s">
        <v>138</v>
      </c>
      <c r="C41" s="106">
        <f>'MFPRSI Supplemental Info 2016'!D41</f>
        <v>2.039407E-2</v>
      </c>
      <c r="D41" s="106">
        <v>2.030274E-2</v>
      </c>
      <c r="E41" s="114">
        <f>'MFPRSI Supplemental Info 2016'!W41</f>
        <v>12751615</v>
      </c>
      <c r="F41" s="114">
        <f t="shared" si="0"/>
        <v>12694510</v>
      </c>
      <c r="G41" s="114">
        <f t="shared" si="1"/>
        <v>-57105</v>
      </c>
      <c r="H41" s="114">
        <f t="shared" si="2"/>
        <v>1490448</v>
      </c>
      <c r="I41" s="114">
        <f t="shared" si="3"/>
        <v>1490448</v>
      </c>
      <c r="J41" s="114">
        <f t="shared" si="4"/>
        <v>0</v>
      </c>
      <c r="K41" s="118">
        <f t="shared" si="5"/>
        <v>-10575</v>
      </c>
      <c r="L41" s="118">
        <f t="shared" si="6"/>
        <v>0</v>
      </c>
      <c r="M41" s="118">
        <f t="shared" si="7"/>
        <v>-46530</v>
      </c>
      <c r="O41" s="118">
        <v>456935</v>
      </c>
      <c r="P41" s="114">
        <v>1011843</v>
      </c>
      <c r="Q41" s="118">
        <v>2880056</v>
      </c>
      <c r="S41" s="114">
        <v>-7245</v>
      </c>
      <c r="T41" s="118">
        <v>-135240</v>
      </c>
      <c r="U41" s="114">
        <v>-2392178</v>
      </c>
      <c r="W41" s="114">
        <v>11907051</v>
      </c>
      <c r="X41" s="114"/>
      <c r="Y41" s="114">
        <v>1811447</v>
      </c>
      <c r="AA41" s="49"/>
    </row>
    <row r="42" spans="1:27" ht="20.100000000000001" customHeight="1" x14ac:dyDescent="0.25">
      <c r="A42" s="56">
        <v>136</v>
      </c>
      <c r="B42" s="78" t="s">
        <v>139</v>
      </c>
      <c r="C42" s="106">
        <f>'MFPRSI Supplemental Info 2016'!D42</f>
        <v>1.7214070000000001E-2</v>
      </c>
      <c r="D42" s="106">
        <v>1.8448530000000001E-2</v>
      </c>
      <c r="E42" s="114">
        <f>'MFPRSI Supplemental Info 2016'!W42</f>
        <v>10763285</v>
      </c>
      <c r="F42" s="114">
        <f t="shared" si="0"/>
        <v>11535145</v>
      </c>
      <c r="G42" s="114">
        <f t="shared" si="1"/>
        <v>771860</v>
      </c>
      <c r="H42" s="114">
        <f t="shared" si="2"/>
        <v>1354328</v>
      </c>
      <c r="I42" s="114">
        <f t="shared" si="3"/>
        <v>1354328</v>
      </c>
      <c r="J42" s="114">
        <f t="shared" si="4"/>
        <v>0</v>
      </c>
      <c r="K42" s="118">
        <f t="shared" si="5"/>
        <v>142937</v>
      </c>
      <c r="L42" s="118">
        <f t="shared" si="6"/>
        <v>628923</v>
      </c>
      <c r="M42" s="118">
        <f t="shared" si="7"/>
        <v>0</v>
      </c>
      <c r="O42" s="118">
        <v>415204</v>
      </c>
      <c r="P42" s="114">
        <v>919433</v>
      </c>
      <c r="Q42" s="118">
        <v>2617026</v>
      </c>
      <c r="S42" s="114">
        <v>-6583</v>
      </c>
      <c r="T42" s="118">
        <v>-122889</v>
      </c>
      <c r="U42" s="114">
        <v>-2173705</v>
      </c>
      <c r="W42" s="114">
        <v>10819603</v>
      </c>
      <c r="X42" s="114"/>
      <c r="Y42" s="114">
        <v>1646011</v>
      </c>
      <c r="AA42" s="49"/>
    </row>
    <row r="43" spans="1:27" ht="20.100000000000001" customHeight="1" x14ac:dyDescent="0.25">
      <c r="A43" s="56">
        <v>137</v>
      </c>
      <c r="B43" s="78" t="s">
        <v>140</v>
      </c>
      <c r="C43" s="106">
        <f>'MFPRSI Supplemental Info 2016'!D43</f>
        <v>1.064467E-2</v>
      </c>
      <c r="D43" s="106">
        <v>1.059213E-2</v>
      </c>
      <c r="E43" s="114">
        <f>'MFPRSI Supplemental Info 2016'!W43</f>
        <v>6655696</v>
      </c>
      <c r="F43" s="114">
        <f t="shared" si="0"/>
        <v>6622845</v>
      </c>
      <c r="G43" s="114">
        <f t="shared" si="1"/>
        <v>-32851</v>
      </c>
      <c r="H43" s="114">
        <f t="shared" si="2"/>
        <v>777581</v>
      </c>
      <c r="I43" s="114">
        <f t="shared" si="3"/>
        <v>777581</v>
      </c>
      <c r="J43" s="114">
        <f t="shared" si="4"/>
        <v>0</v>
      </c>
      <c r="K43" s="118">
        <f t="shared" si="5"/>
        <v>-6084</v>
      </c>
      <c r="L43" s="118">
        <f t="shared" si="6"/>
        <v>0</v>
      </c>
      <c r="M43" s="118">
        <f t="shared" si="7"/>
        <v>-26767</v>
      </c>
      <c r="O43" s="118">
        <v>238387</v>
      </c>
      <c r="P43" s="114">
        <v>527888</v>
      </c>
      <c r="Q43" s="118">
        <v>1502552</v>
      </c>
      <c r="S43" s="114">
        <v>-3780</v>
      </c>
      <c r="T43" s="118">
        <v>-70556</v>
      </c>
      <c r="U43" s="114">
        <v>-1248022</v>
      </c>
      <c r="W43" s="114">
        <v>6212020</v>
      </c>
      <c r="X43" s="114"/>
      <c r="Y43" s="114">
        <v>945049</v>
      </c>
      <c r="AA43" s="49"/>
    </row>
    <row r="44" spans="1:27" ht="20.100000000000001" customHeight="1" x14ac:dyDescent="0.25">
      <c r="A44" s="56">
        <v>138</v>
      </c>
      <c r="B44" s="78" t="s">
        <v>141</v>
      </c>
      <c r="C44" s="106">
        <f>'MFPRSI Supplemental Info 2016'!D44</f>
        <v>2.2114299999999999E-3</v>
      </c>
      <c r="D44" s="106">
        <v>2.2644399999999999E-3</v>
      </c>
      <c r="E44" s="114">
        <f>'MFPRSI Supplemental Info 2016'!W44</f>
        <v>1382721</v>
      </c>
      <c r="F44" s="114">
        <f t="shared" si="0"/>
        <v>1415866</v>
      </c>
      <c r="G44" s="114">
        <f t="shared" si="1"/>
        <v>33145</v>
      </c>
      <c r="H44" s="114">
        <f t="shared" si="2"/>
        <v>166235</v>
      </c>
      <c r="I44" s="114">
        <f t="shared" si="3"/>
        <v>166235</v>
      </c>
      <c r="J44" s="114">
        <f t="shared" si="4"/>
        <v>0</v>
      </c>
      <c r="K44" s="118">
        <f t="shared" si="5"/>
        <v>6138</v>
      </c>
      <c r="L44" s="118">
        <f t="shared" si="6"/>
        <v>27007</v>
      </c>
      <c r="M44" s="118">
        <f t="shared" si="7"/>
        <v>0</v>
      </c>
      <c r="O44" s="118">
        <v>50964</v>
      </c>
      <c r="P44" s="114">
        <v>112855</v>
      </c>
      <c r="Q44" s="118">
        <v>321223</v>
      </c>
      <c r="S44" s="114">
        <v>-808</v>
      </c>
      <c r="T44" s="118">
        <v>-15084</v>
      </c>
      <c r="U44" s="114">
        <v>-266809</v>
      </c>
      <c r="W44" s="114">
        <v>1328038</v>
      </c>
      <c r="X44" s="114"/>
      <c r="Y44" s="114">
        <v>202037</v>
      </c>
      <c r="AA44" s="49"/>
    </row>
    <row r="45" spans="1:27" ht="20.100000000000001" customHeight="1" x14ac:dyDescent="0.25">
      <c r="A45" s="56">
        <v>139</v>
      </c>
      <c r="B45" s="77" t="s">
        <v>142</v>
      </c>
      <c r="C45" s="106">
        <f>'MFPRSI Supplemental Info 2016'!D45</f>
        <v>4.8058399999999996E-3</v>
      </c>
      <c r="D45" s="106">
        <v>4.8384400000000003E-3</v>
      </c>
      <c r="E45" s="114">
        <f>'MFPRSI Supplemental Info 2016'!W45</f>
        <v>3004904</v>
      </c>
      <c r="F45" s="114">
        <f t="shared" si="0"/>
        <v>3025288</v>
      </c>
      <c r="G45" s="114">
        <f t="shared" si="1"/>
        <v>20384</v>
      </c>
      <c r="H45" s="114">
        <f t="shared" si="2"/>
        <v>355196</v>
      </c>
      <c r="I45" s="114">
        <f t="shared" si="3"/>
        <v>355196</v>
      </c>
      <c r="J45" s="114">
        <f t="shared" si="4"/>
        <v>0</v>
      </c>
      <c r="K45" s="118">
        <f t="shared" si="5"/>
        <v>3775</v>
      </c>
      <c r="L45" s="118">
        <f t="shared" si="6"/>
        <v>16609</v>
      </c>
      <c r="M45" s="118">
        <f t="shared" si="7"/>
        <v>0</v>
      </c>
      <c r="O45" s="118">
        <v>108894</v>
      </c>
      <c r="P45" s="114">
        <v>241137</v>
      </c>
      <c r="Q45" s="118">
        <v>686359</v>
      </c>
      <c r="S45" s="114">
        <v>-1727</v>
      </c>
      <c r="T45" s="118">
        <v>-32230</v>
      </c>
      <c r="U45" s="114">
        <v>-570091</v>
      </c>
      <c r="W45" s="114">
        <v>2837624</v>
      </c>
      <c r="X45" s="114"/>
      <c r="Y45" s="114">
        <v>431694</v>
      </c>
      <c r="AA45" s="49"/>
    </row>
    <row r="46" spans="1:27" ht="20.100000000000001" customHeight="1" x14ac:dyDescent="0.25">
      <c r="A46" s="56">
        <v>140</v>
      </c>
      <c r="B46" s="78" t="s">
        <v>143</v>
      </c>
      <c r="C46" s="106">
        <f>'MFPRSI Supplemental Info 2016'!D46</f>
        <v>1.432455E-2</v>
      </c>
      <c r="D46" s="106">
        <v>1.443588E-2</v>
      </c>
      <c r="E46" s="114">
        <f>'MFPRSI Supplemental Info 2016'!W46</f>
        <v>8956582</v>
      </c>
      <c r="F46" s="114">
        <f t="shared" si="0"/>
        <v>9026192</v>
      </c>
      <c r="G46" s="114">
        <f t="shared" si="1"/>
        <v>69610</v>
      </c>
      <c r="H46" s="114">
        <f t="shared" si="2"/>
        <v>1059755</v>
      </c>
      <c r="I46" s="114">
        <f t="shared" si="3"/>
        <v>1059755</v>
      </c>
      <c r="J46" s="114">
        <f t="shared" si="4"/>
        <v>0</v>
      </c>
      <c r="K46" s="118">
        <f t="shared" si="5"/>
        <v>12891</v>
      </c>
      <c r="L46" s="118">
        <f t="shared" si="6"/>
        <v>56719</v>
      </c>
      <c r="M46" s="118">
        <f t="shared" si="7"/>
        <v>0</v>
      </c>
      <c r="O46" s="118">
        <v>324895</v>
      </c>
      <c r="P46" s="114">
        <v>719452</v>
      </c>
      <c r="Q46" s="118">
        <v>2047809</v>
      </c>
      <c r="S46" s="114">
        <v>-5151</v>
      </c>
      <c r="T46" s="118">
        <v>-96160</v>
      </c>
      <c r="U46" s="114">
        <v>-1700913</v>
      </c>
      <c r="W46" s="114">
        <v>8466284</v>
      </c>
      <c r="X46" s="114"/>
      <c r="Y46" s="114">
        <v>1287995</v>
      </c>
      <c r="AA46" s="49"/>
    </row>
    <row r="47" spans="1:27" ht="20.100000000000001" customHeight="1" x14ac:dyDescent="0.25">
      <c r="A47" s="56">
        <v>141</v>
      </c>
      <c r="B47" s="79" t="s">
        <v>144</v>
      </c>
      <c r="C47" s="106">
        <f>'MFPRSI Supplemental Info 2016'!D47</f>
        <v>3.34439E-3</v>
      </c>
      <c r="D47" s="106">
        <v>3.4715599999999998E-3</v>
      </c>
      <c r="E47" s="114">
        <f>'MFPRSI Supplemental Info 2016'!W47</f>
        <v>2091116</v>
      </c>
      <c r="F47" s="114">
        <f t="shared" si="0"/>
        <v>2170631</v>
      </c>
      <c r="G47" s="114">
        <f t="shared" si="1"/>
        <v>79515</v>
      </c>
      <c r="H47" s="114">
        <f t="shared" si="2"/>
        <v>254851</v>
      </c>
      <c r="I47" s="114">
        <f t="shared" si="3"/>
        <v>254851</v>
      </c>
      <c r="J47" s="114">
        <f t="shared" si="4"/>
        <v>0</v>
      </c>
      <c r="K47" s="118">
        <f t="shared" si="5"/>
        <v>14725</v>
      </c>
      <c r="L47" s="118">
        <f t="shared" si="6"/>
        <v>64790</v>
      </c>
      <c r="M47" s="118">
        <f t="shared" si="7"/>
        <v>0</v>
      </c>
      <c r="O47" s="118">
        <v>78131</v>
      </c>
      <c r="P47" s="114">
        <v>173015</v>
      </c>
      <c r="Q47" s="118">
        <v>492460</v>
      </c>
      <c r="S47" s="114">
        <v>-1239</v>
      </c>
      <c r="T47" s="118">
        <v>-23125</v>
      </c>
      <c r="U47" s="114">
        <v>-409038</v>
      </c>
      <c r="W47" s="114">
        <v>2035983</v>
      </c>
      <c r="X47" s="114"/>
      <c r="Y47" s="114">
        <v>309739</v>
      </c>
      <c r="AA47" s="49"/>
    </row>
    <row r="48" spans="1:27" ht="20.100000000000001" customHeight="1" x14ac:dyDescent="0.25">
      <c r="A48" s="56">
        <v>142</v>
      </c>
      <c r="B48" s="73" t="s">
        <v>145</v>
      </c>
      <c r="C48" s="106">
        <f>'MFPRSI Supplemental Info 2016'!D48</f>
        <v>6.2975229999999993E-2</v>
      </c>
      <c r="D48" s="106">
        <v>6.4987420000000004E-2</v>
      </c>
      <c r="E48" s="114">
        <f>'MFPRSI Supplemental Info 2016'!W48</f>
        <v>39375951</v>
      </c>
      <c r="F48" s="114">
        <f t="shared" si="0"/>
        <v>40634095</v>
      </c>
      <c r="G48" s="114">
        <f t="shared" si="1"/>
        <v>1258144</v>
      </c>
      <c r="H48" s="114">
        <f t="shared" si="2"/>
        <v>4770802</v>
      </c>
      <c r="I48" s="114">
        <f t="shared" si="3"/>
        <v>4770802</v>
      </c>
      <c r="J48" s="114">
        <f t="shared" si="4"/>
        <v>0</v>
      </c>
      <c r="K48" s="118">
        <f t="shared" si="5"/>
        <v>232990</v>
      </c>
      <c r="L48" s="118">
        <f t="shared" si="6"/>
        <v>1025154</v>
      </c>
      <c r="M48" s="118">
        <f t="shared" si="7"/>
        <v>0</v>
      </c>
      <c r="O48" s="118">
        <v>1462612</v>
      </c>
      <c r="P48" s="114">
        <v>3238826</v>
      </c>
      <c r="Q48" s="118">
        <v>9218824</v>
      </c>
      <c r="S48" s="114">
        <v>-23190</v>
      </c>
      <c r="T48" s="118">
        <v>-432893</v>
      </c>
      <c r="U48" s="114">
        <v>-7657167</v>
      </c>
      <c r="W48" s="114">
        <v>38113501</v>
      </c>
      <c r="X48" s="114"/>
      <c r="Y48" s="114">
        <v>5798293</v>
      </c>
      <c r="AA48" s="49"/>
    </row>
    <row r="49" spans="1:27" ht="20.100000000000001" customHeight="1" x14ac:dyDescent="0.25">
      <c r="A49" s="56">
        <v>143</v>
      </c>
      <c r="B49" s="73" t="s">
        <v>146</v>
      </c>
      <c r="C49" s="106">
        <f>'MFPRSI Supplemental Info 2016'!D49</f>
        <v>5.0313800000000002E-3</v>
      </c>
      <c r="D49" s="106">
        <v>5.0976600000000004E-3</v>
      </c>
      <c r="E49" s="114">
        <f>'MFPRSI Supplemental Info 2016'!W49</f>
        <v>3145925</v>
      </c>
      <c r="F49" s="114">
        <f t="shared" si="0"/>
        <v>3187368</v>
      </c>
      <c r="G49" s="114">
        <f t="shared" si="1"/>
        <v>41443</v>
      </c>
      <c r="H49" s="114">
        <f t="shared" si="2"/>
        <v>374225</v>
      </c>
      <c r="I49" s="114">
        <f t="shared" si="3"/>
        <v>374225</v>
      </c>
      <c r="J49" s="114">
        <f t="shared" si="4"/>
        <v>0</v>
      </c>
      <c r="K49" s="118">
        <f t="shared" si="5"/>
        <v>7675</v>
      </c>
      <c r="L49" s="118">
        <f t="shared" si="6"/>
        <v>33768</v>
      </c>
      <c r="M49" s="118">
        <f t="shared" si="7"/>
        <v>0</v>
      </c>
      <c r="O49" s="118">
        <v>114728</v>
      </c>
      <c r="P49" s="114">
        <v>254056</v>
      </c>
      <c r="Q49" s="118">
        <v>723131</v>
      </c>
      <c r="S49" s="114">
        <v>-1819</v>
      </c>
      <c r="T49" s="118">
        <v>-33956</v>
      </c>
      <c r="U49" s="114">
        <v>-600634</v>
      </c>
      <c r="W49" s="114">
        <v>2989650</v>
      </c>
      <c r="X49" s="114"/>
      <c r="Y49" s="114">
        <v>454822</v>
      </c>
      <c r="AA49" s="49"/>
    </row>
    <row r="50" spans="1:27" ht="20.100000000000001" customHeight="1" x14ac:dyDescent="0.25">
      <c r="A50" s="56">
        <v>144</v>
      </c>
      <c r="B50" s="73" t="s">
        <v>147</v>
      </c>
      <c r="C50" s="106">
        <f>'MFPRSI Supplemental Info 2016'!D50</f>
        <v>3.3881200000000001E-3</v>
      </c>
      <c r="D50" s="106">
        <v>3.6767000000000002E-3</v>
      </c>
      <c r="E50" s="114">
        <f>'MFPRSI Supplemental Info 2016'!W50</f>
        <v>2118459</v>
      </c>
      <c r="F50" s="114">
        <f t="shared" si="0"/>
        <v>2298897</v>
      </c>
      <c r="G50" s="114">
        <f t="shared" si="1"/>
        <v>180438</v>
      </c>
      <c r="H50" s="114">
        <f t="shared" si="2"/>
        <v>269911</v>
      </c>
      <c r="I50" s="114">
        <f t="shared" si="3"/>
        <v>269911</v>
      </c>
      <c r="J50" s="114">
        <f t="shared" si="4"/>
        <v>0</v>
      </c>
      <c r="K50" s="118">
        <f t="shared" si="5"/>
        <v>33414</v>
      </c>
      <c r="L50" s="118">
        <f t="shared" si="6"/>
        <v>147024</v>
      </c>
      <c r="M50" s="118">
        <f t="shared" si="7"/>
        <v>0</v>
      </c>
      <c r="O50" s="118">
        <v>82748</v>
      </c>
      <c r="P50" s="114">
        <v>183238</v>
      </c>
      <c r="Q50" s="118">
        <v>521560</v>
      </c>
      <c r="S50" s="114">
        <v>-1312</v>
      </c>
      <c r="T50" s="118">
        <v>-24491</v>
      </c>
      <c r="U50" s="114">
        <v>-433209</v>
      </c>
      <c r="W50" s="114">
        <v>2156293</v>
      </c>
      <c r="X50" s="114"/>
      <c r="Y50" s="114">
        <v>328042</v>
      </c>
      <c r="AA50" s="49"/>
    </row>
    <row r="51" spans="1:27" ht="20.100000000000001" customHeight="1" x14ac:dyDescent="0.25">
      <c r="A51" s="56">
        <v>145</v>
      </c>
      <c r="B51" s="73" t="s">
        <v>148</v>
      </c>
      <c r="C51" s="106">
        <f>'MFPRSI Supplemental Info 2016'!D51</f>
        <v>1.9366149999999999E-2</v>
      </c>
      <c r="D51" s="106">
        <v>2.0280490000000002E-2</v>
      </c>
      <c r="E51" s="114">
        <f>'MFPRSI Supplemental Info 2016'!W51</f>
        <v>12108897</v>
      </c>
      <c r="F51" s="114">
        <f t="shared" si="0"/>
        <v>12680598</v>
      </c>
      <c r="G51" s="114">
        <f t="shared" si="1"/>
        <v>571701</v>
      </c>
      <c r="H51" s="114">
        <f t="shared" si="2"/>
        <v>1488814</v>
      </c>
      <c r="I51" s="114">
        <f t="shared" si="3"/>
        <v>1488814</v>
      </c>
      <c r="J51" s="114">
        <f t="shared" si="4"/>
        <v>0</v>
      </c>
      <c r="K51" s="118">
        <f t="shared" si="5"/>
        <v>105871</v>
      </c>
      <c r="L51" s="118">
        <f t="shared" si="6"/>
        <v>465830</v>
      </c>
      <c r="M51" s="118">
        <f t="shared" si="7"/>
        <v>0</v>
      </c>
      <c r="O51" s="118">
        <v>456434</v>
      </c>
      <c r="P51" s="114">
        <v>1010734</v>
      </c>
      <c r="Q51" s="118">
        <v>2876899</v>
      </c>
      <c r="S51" s="114">
        <v>-7237</v>
      </c>
      <c r="T51" s="118">
        <v>-135092</v>
      </c>
      <c r="U51" s="114">
        <v>-2389556</v>
      </c>
      <c r="W51" s="114">
        <v>11894002</v>
      </c>
      <c r="X51" s="114"/>
      <c r="Y51" s="114">
        <v>1809461</v>
      </c>
      <c r="AA51" s="49"/>
    </row>
    <row r="52" spans="1:27" ht="20.100000000000001" customHeight="1" x14ac:dyDescent="0.25">
      <c r="A52" s="56">
        <v>146</v>
      </c>
      <c r="B52" s="73" t="s">
        <v>149</v>
      </c>
      <c r="C52" s="106">
        <f>'MFPRSI Supplemental Info 2016'!D52</f>
        <v>5.6883620000000003E-2</v>
      </c>
      <c r="D52" s="106">
        <v>5.7032859999999998E-2</v>
      </c>
      <c r="E52" s="114">
        <f>'MFPRSI Supplemental Info 2016'!W52</f>
        <v>35567105</v>
      </c>
      <c r="F52" s="114">
        <f t="shared" si="0"/>
        <v>35660419</v>
      </c>
      <c r="G52" s="114">
        <f t="shared" si="1"/>
        <v>93314</v>
      </c>
      <c r="H52" s="114">
        <f t="shared" si="2"/>
        <v>4186849</v>
      </c>
      <c r="I52" s="114">
        <f t="shared" si="3"/>
        <v>4186849</v>
      </c>
      <c r="J52" s="114">
        <f t="shared" si="4"/>
        <v>0</v>
      </c>
      <c r="K52" s="118">
        <f t="shared" si="5"/>
        <v>17280</v>
      </c>
      <c r="L52" s="118">
        <f t="shared" si="6"/>
        <v>76034</v>
      </c>
      <c r="M52" s="118">
        <f t="shared" si="7"/>
        <v>0</v>
      </c>
      <c r="O52" s="118">
        <v>1283586</v>
      </c>
      <c r="P52" s="114">
        <v>2842389</v>
      </c>
      <c r="Q52" s="118">
        <v>8090426</v>
      </c>
      <c r="S52" s="114">
        <v>-20352</v>
      </c>
      <c r="T52" s="118">
        <v>-379906</v>
      </c>
      <c r="U52" s="114">
        <v>-6719918</v>
      </c>
      <c r="W52" s="114">
        <v>33448350</v>
      </c>
      <c r="X52" s="114"/>
      <c r="Y52" s="114">
        <v>5088573</v>
      </c>
      <c r="AA52" s="49"/>
    </row>
    <row r="53" spans="1:27" ht="20.100000000000001" customHeight="1" x14ac:dyDescent="0.25">
      <c r="A53" s="56">
        <v>147</v>
      </c>
      <c r="B53" s="73" t="s">
        <v>150</v>
      </c>
      <c r="C53" s="106">
        <f>'MFPRSI Supplemental Info 2016'!D53</f>
        <v>3.6576400000000002E-3</v>
      </c>
      <c r="D53" s="106">
        <v>3.6385499999999999E-3</v>
      </c>
      <c r="E53" s="114">
        <f>'MFPRSI Supplemental Info 2016'!W53</f>
        <v>2286979</v>
      </c>
      <c r="F53" s="114">
        <f t="shared" si="0"/>
        <v>2275043</v>
      </c>
      <c r="G53" s="114">
        <f t="shared" si="1"/>
        <v>-11936</v>
      </c>
      <c r="H53" s="114">
        <f t="shared" si="2"/>
        <v>267110</v>
      </c>
      <c r="I53" s="114">
        <f t="shared" si="3"/>
        <v>267110</v>
      </c>
      <c r="J53" s="114">
        <f t="shared" si="4"/>
        <v>0</v>
      </c>
      <c r="K53" s="118">
        <f t="shared" si="5"/>
        <v>-2210</v>
      </c>
      <c r="L53" s="118">
        <f t="shared" si="6"/>
        <v>0</v>
      </c>
      <c r="M53" s="118">
        <f t="shared" si="7"/>
        <v>-9726</v>
      </c>
      <c r="O53" s="118">
        <v>81889</v>
      </c>
      <c r="P53" s="114">
        <v>181337</v>
      </c>
      <c r="Q53" s="118">
        <v>516148</v>
      </c>
      <c r="S53" s="114">
        <v>-1298</v>
      </c>
      <c r="T53" s="118">
        <v>-24237</v>
      </c>
      <c r="U53" s="114">
        <v>-428714</v>
      </c>
      <c r="W53" s="114">
        <v>2133919</v>
      </c>
      <c r="X53" s="114"/>
      <c r="Y53" s="114">
        <v>324638</v>
      </c>
      <c r="AA53" s="49"/>
    </row>
    <row r="54" spans="1:27" ht="20.100000000000001" customHeight="1" x14ac:dyDescent="0.25">
      <c r="A54" s="56">
        <v>148</v>
      </c>
      <c r="B54" s="73" t="s">
        <v>151</v>
      </c>
      <c r="C54" s="106">
        <f>'MFPRSI Supplemental Info 2016'!D54</f>
        <v>3.1196700000000002E-3</v>
      </c>
      <c r="D54" s="106">
        <v>3.0700100000000002E-3</v>
      </c>
      <c r="E54" s="114">
        <f>'MFPRSI Supplemental Info 2016'!W54</f>
        <v>1950608</v>
      </c>
      <c r="F54" s="114">
        <f t="shared" si="0"/>
        <v>1919557</v>
      </c>
      <c r="G54" s="114">
        <f t="shared" si="1"/>
        <v>-31051</v>
      </c>
      <c r="H54" s="114">
        <f t="shared" si="2"/>
        <v>225373</v>
      </c>
      <c r="I54" s="114">
        <f t="shared" si="3"/>
        <v>225373</v>
      </c>
      <c r="J54" s="114">
        <f t="shared" si="4"/>
        <v>0</v>
      </c>
      <c r="K54" s="118">
        <f t="shared" si="5"/>
        <v>-5750</v>
      </c>
      <c r="L54" s="118">
        <f t="shared" si="6"/>
        <v>0</v>
      </c>
      <c r="M54" s="118">
        <f t="shared" si="7"/>
        <v>-25301</v>
      </c>
      <c r="O54" s="118">
        <v>69094</v>
      </c>
      <c r="P54" s="114">
        <v>153002</v>
      </c>
      <c r="Q54" s="118">
        <v>435498</v>
      </c>
      <c r="S54" s="114">
        <v>-1096</v>
      </c>
      <c r="T54" s="118">
        <v>-20450</v>
      </c>
      <c r="U54" s="114">
        <v>-361725</v>
      </c>
      <c r="W54" s="114">
        <v>1800484</v>
      </c>
      <c r="X54" s="114"/>
      <c r="Y54" s="114">
        <v>273912</v>
      </c>
      <c r="AA54" s="49"/>
    </row>
    <row r="55" spans="1:27" ht="19.5" customHeight="1" x14ac:dyDescent="0.25">
      <c r="A55" s="56">
        <v>149</v>
      </c>
      <c r="B55" s="73" t="s">
        <v>152</v>
      </c>
      <c r="C55" s="106">
        <f>'MFPRSI Supplemental Info 2016'!D55</f>
        <v>3.1945040000000001E-2</v>
      </c>
      <c r="D55" s="106">
        <v>3.1571500000000002E-2</v>
      </c>
      <c r="E55" s="114">
        <f>'MFPRSI Supplemental Info 2016'!W55</f>
        <v>19973986</v>
      </c>
      <c r="F55" s="114">
        <f>ROUND($E$57*D55,0)</f>
        <v>19740426</v>
      </c>
      <c r="G55" s="114">
        <f t="shared" si="1"/>
        <v>-233560</v>
      </c>
      <c r="H55" s="114">
        <f t="shared" si="2"/>
        <v>2317701</v>
      </c>
      <c r="I55" s="114">
        <f t="shared" si="3"/>
        <v>2317701</v>
      </c>
      <c r="J55" s="114">
        <f t="shared" si="4"/>
        <v>0</v>
      </c>
      <c r="K55" s="118">
        <f t="shared" si="5"/>
        <v>-43252</v>
      </c>
      <c r="L55" s="118">
        <f t="shared" si="6"/>
        <v>0</v>
      </c>
      <c r="M55" s="118">
        <f t="shared" si="7"/>
        <v>-190308</v>
      </c>
      <c r="O55" s="118">
        <v>710550</v>
      </c>
      <c r="P55" s="114">
        <v>1573452</v>
      </c>
      <c r="Q55" s="118">
        <v>4478592</v>
      </c>
      <c r="S55" s="114">
        <v>-11266</v>
      </c>
      <c r="T55" s="118">
        <v>-210304</v>
      </c>
      <c r="U55" s="114">
        <v>-3719924</v>
      </c>
      <c r="W55" s="114">
        <v>18515897</v>
      </c>
      <c r="X55" s="114"/>
      <c r="Y55" s="114">
        <v>2816866</v>
      </c>
      <c r="AA55" s="49"/>
    </row>
    <row r="56" spans="1:27" x14ac:dyDescent="0.25">
      <c r="E56" s="115"/>
      <c r="U56" s="114"/>
      <c r="W56" s="118"/>
      <c r="X56" s="118"/>
      <c r="Y56" s="114"/>
    </row>
    <row r="57" spans="1:27" x14ac:dyDescent="0.25">
      <c r="C57" s="110">
        <f t="shared" ref="C57:I57" si="8">SUM(C7:C56)</f>
        <v>0.99999999000000006</v>
      </c>
      <c r="D57" s="110">
        <f t="shared" si="8"/>
        <v>0.99999999999999989</v>
      </c>
      <c r="E57" s="114">
        <f>SUM(E7:E56)+E61</f>
        <v>625260934</v>
      </c>
      <c r="F57" s="114">
        <f>SUM(F7:F56)+F61</f>
        <v>625260941</v>
      </c>
      <c r="G57" s="114">
        <f>SUM(G7:G56)+G61</f>
        <v>7</v>
      </c>
      <c r="H57" s="114">
        <f>SUM(H7:H56)+H61</f>
        <v>73411165</v>
      </c>
      <c r="I57" s="115">
        <f t="shared" si="8"/>
        <v>73411166</v>
      </c>
      <c r="J57" s="111">
        <f>SUM(J7:J56)</f>
        <v>0</v>
      </c>
      <c r="K57" s="111"/>
      <c r="L57" s="114">
        <f t="shared" ref="L57" si="9">SUM(L7:L56)</f>
        <v>6391593</v>
      </c>
      <c r="M57" s="114">
        <f>SUM(M7:M56)</f>
        <v>-6391593</v>
      </c>
      <c r="O57" s="114">
        <f>SUM(O7:O56)</f>
        <v>22506072</v>
      </c>
      <c r="P57" s="114">
        <f>SUM(P7:P56)</f>
        <v>49837735</v>
      </c>
      <c r="Q57" s="114">
        <f>SUM(Q7:Q56)</f>
        <v>141855521</v>
      </c>
      <c r="S57" s="114">
        <f>SUM(S7:S56)+S61</f>
        <v>-356841</v>
      </c>
      <c r="T57" s="114">
        <f>SUM(T7:T56)+T61</f>
        <v>-6661184</v>
      </c>
      <c r="U57" s="114">
        <f>SUM(U7:U56)+U61</f>
        <v>-117825376</v>
      </c>
      <c r="V57" s="114"/>
      <c r="W57" s="114">
        <f>SUM(W7:W56)+W61</f>
        <v>586475060</v>
      </c>
      <c r="X57" s="114"/>
      <c r="Y57" s="114">
        <f>SUM(Y7:Y56)+Y61</f>
        <v>89221778</v>
      </c>
    </row>
    <row r="58" spans="1:27" x14ac:dyDescent="0.25">
      <c r="C58" s="110"/>
      <c r="D58" s="110"/>
      <c r="E58" s="114"/>
      <c r="F58" s="114"/>
      <c r="H58" s="115"/>
      <c r="K58" s="111"/>
      <c r="L58" s="114"/>
      <c r="M58" s="114"/>
      <c r="O58" s="114"/>
      <c r="P58" s="114"/>
      <c r="Q58" s="114"/>
      <c r="S58" s="114"/>
      <c r="T58" s="114"/>
      <c r="U58" s="114"/>
      <c r="V58" s="114"/>
      <c r="W58" s="114"/>
      <c r="X58" s="114"/>
      <c r="Y58" s="114"/>
    </row>
    <row r="59" spans="1:27" x14ac:dyDescent="0.25">
      <c r="E59" s="114"/>
      <c r="F59" s="114"/>
      <c r="K59" s="111"/>
      <c r="L59" s="114"/>
      <c r="M59" s="114"/>
      <c r="O59" s="83" t="s">
        <v>60</v>
      </c>
      <c r="P59" s="116"/>
      <c r="Q59" s="110"/>
      <c r="R59" s="110"/>
      <c r="S59" s="115"/>
      <c r="T59" s="115"/>
      <c r="U59" s="111">
        <v>5.4</v>
      </c>
      <c r="V59" s="122" t="s">
        <v>61</v>
      </c>
      <c r="W59" s="114"/>
      <c r="X59" s="114"/>
      <c r="Y59" s="114"/>
    </row>
    <row r="60" spans="1:27" x14ac:dyDescent="0.25">
      <c r="E60" s="116"/>
      <c r="F60" s="116"/>
      <c r="O60" s="83" t="s">
        <v>196</v>
      </c>
      <c r="U60" s="125">
        <v>73411163</v>
      </c>
    </row>
    <row r="61" spans="1:27" x14ac:dyDescent="0.25">
      <c r="B61" s="60" t="s">
        <v>153</v>
      </c>
      <c r="E61" s="116">
        <v>0</v>
      </c>
      <c r="F61" s="116">
        <v>7</v>
      </c>
      <c r="G61" s="111">
        <v>7</v>
      </c>
      <c r="H61" s="111">
        <v>-1</v>
      </c>
      <c r="K61" s="116">
        <v>-1</v>
      </c>
      <c r="S61" s="116">
        <v>3</v>
      </c>
      <c r="T61" s="116">
        <v>-2</v>
      </c>
      <c r="U61" s="114">
        <v>1</v>
      </c>
      <c r="W61" s="116">
        <v>0</v>
      </c>
      <c r="Y61" s="116">
        <v>0</v>
      </c>
    </row>
  </sheetData>
  <sheetProtection algorithmName="SHA-512" hashValue="bNKbOIOMPkMhaCLuyZX2/NqZT0aY7+yhR0Klincoh1lTTIBG9Zuh882QkJSas0aHrW84mZl8v/ZDqHNdPMrBPg==" saltValue="GBd2C++ag6uGK3fcHMweew==" spinCount="100000" sheet="1" objects="1" scenarios="1"/>
  <mergeCells count="3">
    <mergeCell ref="K3:M3"/>
    <mergeCell ref="O3:Q3"/>
    <mergeCell ref="S3:U3"/>
  </mergeCells>
  <pageMargins left="0.5" right="0.25" top="1" bottom="0.5" header="0.3" footer="0.3"/>
  <pageSetup orientation="landscape" r:id="rId1"/>
  <headerFooter>
    <oddHeader>&amp;L&amp;"-,Bold"&amp;14MUNICIPAL FIRE AND POLICE RETIREMENT SYSTEM OF IOWA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5" x14ac:dyDescent="0.25"/>
  <cols>
    <col min="1" max="1" width="3.5703125" style="56" bestFit="1" customWidth="1"/>
    <col min="2" max="2" width="15" style="60" bestFit="1" customWidth="1"/>
    <col min="3" max="3" width="10.7109375" style="106" bestFit="1" customWidth="1"/>
    <col min="4" max="4" width="10.7109375" style="111" bestFit="1" customWidth="1"/>
    <col min="5" max="5" width="11.140625" style="111" bestFit="1" customWidth="1"/>
    <col min="6" max="6" width="10.7109375" style="111" bestFit="1" customWidth="1"/>
    <col min="7" max="7" width="9.7109375" style="111" bestFit="1" customWidth="1"/>
    <col min="8" max="9" width="9.85546875" style="111" bestFit="1" customWidth="1"/>
    <col min="10" max="10" width="11.140625" style="111" customWidth="1"/>
    <col min="11" max="11" width="8.7109375" style="116" bestFit="1" customWidth="1"/>
    <col min="12" max="12" width="9.28515625" style="116" bestFit="1" customWidth="1"/>
    <col min="13" max="13" width="9.7109375" style="116" bestFit="1" customWidth="1"/>
    <col min="14" max="14" width="0.85546875" style="116" customWidth="1"/>
    <col min="15" max="15" width="10.7109375" style="116" bestFit="1" customWidth="1"/>
    <col min="16" max="16" width="12.42578125" style="118" bestFit="1" customWidth="1"/>
    <col min="17" max="17" width="10.7109375" style="116" customWidth="1"/>
    <col min="18" max="18" width="2.28515625" style="116" customWidth="1"/>
    <col min="19" max="19" width="10.7109375" style="116" bestFit="1" customWidth="1"/>
    <col min="20" max="20" width="11.7109375" style="116" customWidth="1"/>
    <col min="21" max="21" width="12.7109375" style="116" bestFit="1" customWidth="1"/>
    <col min="22" max="22" width="2.28515625" style="116" customWidth="1"/>
    <col min="23" max="23" width="12.7109375" style="116" bestFit="1" customWidth="1"/>
    <col min="24" max="24" width="2.28515625" style="116" customWidth="1"/>
    <col min="25" max="25" width="11.140625" style="116" bestFit="1" customWidth="1"/>
    <col min="27" max="27" width="11.28515625" bestFit="1" customWidth="1"/>
  </cols>
  <sheetData>
    <row r="1" spans="1:27" x14ac:dyDescent="0.25">
      <c r="C1" s="105" t="s">
        <v>157</v>
      </c>
      <c r="O1" s="105" t="s">
        <v>158</v>
      </c>
    </row>
    <row r="3" spans="1:27" x14ac:dyDescent="0.25">
      <c r="H3" s="112" t="s">
        <v>78</v>
      </c>
      <c r="K3" s="158" t="s">
        <v>79</v>
      </c>
      <c r="L3" s="158"/>
      <c r="M3" s="158"/>
      <c r="O3" s="159" t="s">
        <v>27</v>
      </c>
      <c r="P3" s="159"/>
      <c r="Q3" s="159"/>
      <c r="S3" s="159" t="s">
        <v>30</v>
      </c>
      <c r="T3" s="159"/>
      <c r="U3" s="159"/>
    </row>
    <row r="4" spans="1:27" x14ac:dyDescent="0.25">
      <c r="C4" s="107">
        <v>42185</v>
      </c>
      <c r="D4" s="107">
        <v>42551</v>
      </c>
      <c r="E4" s="107">
        <v>42185</v>
      </c>
      <c r="G4" s="112" t="s">
        <v>80</v>
      </c>
      <c r="H4" s="112" t="s">
        <v>49</v>
      </c>
      <c r="I4" s="112" t="s">
        <v>49</v>
      </c>
      <c r="J4" s="112" t="s">
        <v>81</v>
      </c>
      <c r="O4" s="112" t="s">
        <v>82</v>
      </c>
      <c r="Q4" s="112" t="s">
        <v>83</v>
      </c>
      <c r="R4" s="112"/>
      <c r="S4" s="112" t="s">
        <v>82</v>
      </c>
      <c r="U4" s="112" t="s">
        <v>83</v>
      </c>
      <c r="V4" s="112"/>
      <c r="W4" s="112" t="s">
        <v>159</v>
      </c>
      <c r="X4" s="112"/>
      <c r="Y4" s="119" t="s">
        <v>84</v>
      </c>
    </row>
    <row r="5" spans="1:27" x14ac:dyDescent="0.25">
      <c r="A5" s="56" t="s">
        <v>154</v>
      </c>
      <c r="C5" s="108" t="s">
        <v>85</v>
      </c>
      <c r="D5" s="108" t="s">
        <v>85</v>
      </c>
      <c r="E5" s="112" t="s">
        <v>86</v>
      </c>
      <c r="F5" s="112" t="s">
        <v>87</v>
      </c>
      <c r="G5" s="112" t="s">
        <v>85</v>
      </c>
      <c r="H5" s="112" t="s">
        <v>88</v>
      </c>
      <c r="I5" s="112" t="s">
        <v>88</v>
      </c>
      <c r="J5" s="112" t="s">
        <v>89</v>
      </c>
      <c r="K5" s="112" t="s">
        <v>90</v>
      </c>
      <c r="L5" s="119" t="s">
        <v>91</v>
      </c>
      <c r="M5" s="119" t="s">
        <v>91</v>
      </c>
      <c r="O5" s="119" t="s">
        <v>92</v>
      </c>
      <c r="P5" s="123" t="s">
        <v>160</v>
      </c>
      <c r="Q5" s="119" t="s">
        <v>92</v>
      </c>
      <c r="R5" s="119"/>
      <c r="S5" s="119" t="s">
        <v>92</v>
      </c>
      <c r="T5" s="112" t="s">
        <v>160</v>
      </c>
      <c r="U5" s="119" t="s">
        <v>92</v>
      </c>
      <c r="V5" s="119"/>
      <c r="W5" s="112" t="s">
        <v>87</v>
      </c>
      <c r="X5" s="112"/>
      <c r="Y5" s="119" t="s">
        <v>90</v>
      </c>
    </row>
    <row r="6" spans="1:27" ht="20.100000000000001" customHeight="1" x14ac:dyDescent="0.35">
      <c r="A6" s="63" t="s">
        <v>155</v>
      </c>
      <c r="B6" s="67" t="s">
        <v>93</v>
      </c>
      <c r="C6" s="109" t="s">
        <v>94</v>
      </c>
      <c r="D6" s="109" t="s">
        <v>94</v>
      </c>
      <c r="E6" s="113" t="s">
        <v>95</v>
      </c>
      <c r="F6" s="117">
        <v>42185</v>
      </c>
      <c r="G6" s="113" t="s">
        <v>96</v>
      </c>
      <c r="H6" s="113" t="s">
        <v>97</v>
      </c>
      <c r="I6" s="113" t="s">
        <v>97</v>
      </c>
      <c r="J6" s="113" t="s">
        <v>98</v>
      </c>
      <c r="K6" s="113" t="s">
        <v>56</v>
      </c>
      <c r="L6" s="113" t="s">
        <v>99</v>
      </c>
      <c r="M6" s="120" t="s">
        <v>100</v>
      </c>
      <c r="O6" s="120" t="s">
        <v>101</v>
      </c>
      <c r="P6" s="124" t="s">
        <v>102</v>
      </c>
      <c r="Q6" s="120" t="s">
        <v>103</v>
      </c>
      <c r="R6" s="120"/>
      <c r="S6" s="120" t="s">
        <v>101</v>
      </c>
      <c r="T6" s="120" t="s">
        <v>102</v>
      </c>
      <c r="U6" s="120" t="s">
        <v>103</v>
      </c>
      <c r="V6" s="120"/>
      <c r="W6" s="117">
        <v>42551</v>
      </c>
      <c r="X6" s="117"/>
      <c r="Y6" s="120" t="s">
        <v>56</v>
      </c>
    </row>
    <row r="7" spans="1:27" ht="20.100000000000001" customHeight="1" x14ac:dyDescent="0.25">
      <c r="A7" s="56">
        <v>101</v>
      </c>
      <c r="B7" s="73" t="s">
        <v>104</v>
      </c>
      <c r="C7" s="106">
        <f>'MFPRSI Supplemental Info 2015'!D7</f>
        <v>2.6967266512861493E-2</v>
      </c>
      <c r="D7" s="106">
        <v>2.6499450000000001E-2</v>
      </c>
      <c r="E7" s="114">
        <f>'MFPRSI Supplemental Info 2015'!W7</f>
        <v>12669610</v>
      </c>
      <c r="F7" s="114">
        <f>ROUND($E$57*D7,0)</f>
        <v>12449821</v>
      </c>
      <c r="G7" s="114">
        <f>F7-E7</f>
        <v>-219789</v>
      </c>
      <c r="H7" s="114">
        <f>ROUND(D7*$U$60,0)</f>
        <v>1994209</v>
      </c>
      <c r="I7" s="114">
        <f>H7</f>
        <v>1994209</v>
      </c>
      <c r="J7" s="114">
        <f>H7-I7</f>
        <v>0</v>
      </c>
      <c r="K7" s="118">
        <f>ROUND((G7+J7)/$U$59,0)</f>
        <v>-39962</v>
      </c>
      <c r="L7" s="121">
        <f>IF(K7&lt;0,0,G7+J7-K7)</f>
        <v>0</v>
      </c>
      <c r="M7" s="118">
        <f>IF(G7&lt;0,(G7+J7-K7),0)</f>
        <v>-179827</v>
      </c>
      <c r="O7" s="118">
        <v>427627</v>
      </c>
      <c r="P7" s="114">
        <v>699555</v>
      </c>
      <c r="Q7" s="118">
        <v>5187554</v>
      </c>
      <c r="S7" s="114">
        <v>-15366</v>
      </c>
      <c r="T7" s="118">
        <v>-226951</v>
      </c>
      <c r="U7" s="114">
        <v>-2257759</v>
      </c>
      <c r="W7" s="114">
        <v>16569071</v>
      </c>
      <c r="X7" s="114"/>
      <c r="Y7" s="114">
        <v>2267445</v>
      </c>
      <c r="AA7" s="49"/>
    </row>
    <row r="8" spans="1:27" ht="20.100000000000001" customHeight="1" x14ac:dyDescent="0.25">
      <c r="A8" s="56">
        <v>102</v>
      </c>
      <c r="B8" s="73" t="s">
        <v>105</v>
      </c>
      <c r="C8" s="106">
        <f>'MFPRSI Supplemental Info 2015'!D8</f>
        <v>1.786951583797167E-2</v>
      </c>
      <c r="D8" s="106">
        <v>1.871985E-2</v>
      </c>
      <c r="E8" s="114">
        <f>'MFPRSI Supplemental Info 2015'!W8</f>
        <v>8395357</v>
      </c>
      <c r="F8" s="114">
        <f t="shared" ref="F8:F55" si="0">ROUND($E$57*D8,0)</f>
        <v>8794854</v>
      </c>
      <c r="G8" s="114">
        <f t="shared" ref="G8:G55" si="1">F8-E8</f>
        <v>399497</v>
      </c>
      <c r="H8" s="114">
        <f t="shared" ref="H8:H55" si="2">ROUND(D8*$U$60,0)</f>
        <v>1408757</v>
      </c>
      <c r="I8" s="114">
        <f t="shared" ref="I8:I55" si="3">H8</f>
        <v>1408757</v>
      </c>
      <c r="J8" s="114">
        <f t="shared" ref="J8:J55" si="4">H8-I8</f>
        <v>0</v>
      </c>
      <c r="K8" s="118">
        <f t="shared" ref="K8:K55" si="5">ROUND((G8+J8)/$U$59,0)</f>
        <v>72636</v>
      </c>
      <c r="L8" s="118">
        <f t="shared" ref="L8:L55" si="6">IF(K8&lt;0,0,G8+J8-K8)</f>
        <v>326861</v>
      </c>
      <c r="M8" s="118">
        <f t="shared" ref="M8:M55" si="7">IF(G8&lt;0,(G8+J8-K8),0)</f>
        <v>0</v>
      </c>
      <c r="O8" s="118">
        <v>302086</v>
      </c>
      <c r="P8" s="114">
        <v>494183</v>
      </c>
      <c r="Q8" s="118">
        <v>3664613</v>
      </c>
      <c r="S8" s="114">
        <v>-10855</v>
      </c>
      <c r="T8" s="118">
        <v>-160324</v>
      </c>
      <c r="U8" s="114">
        <v>-1594935</v>
      </c>
      <c r="W8" s="114">
        <v>11704791</v>
      </c>
      <c r="X8" s="114"/>
      <c r="Y8" s="114">
        <v>1601778</v>
      </c>
      <c r="AA8" s="49"/>
    </row>
    <row r="9" spans="1:27" ht="20.100000000000001" customHeight="1" x14ac:dyDescent="0.25">
      <c r="A9" s="56">
        <v>103</v>
      </c>
      <c r="B9" s="73" t="s">
        <v>106</v>
      </c>
      <c r="C9" s="106">
        <f>'MFPRSI Supplemental Info 2015'!D9</f>
        <v>1.8702291765798074E-2</v>
      </c>
      <c r="D9" s="106">
        <v>1.8706150000000001E-2</v>
      </c>
      <c r="E9" s="114">
        <f>'MFPRSI Supplemental Info 2015'!W9</f>
        <v>8786604</v>
      </c>
      <c r="F9" s="114">
        <f t="shared" si="0"/>
        <v>8788417</v>
      </c>
      <c r="G9" s="114">
        <f t="shared" si="1"/>
        <v>1813</v>
      </c>
      <c r="H9" s="114">
        <f t="shared" si="2"/>
        <v>1407726</v>
      </c>
      <c r="I9" s="114">
        <f t="shared" si="3"/>
        <v>1407726</v>
      </c>
      <c r="J9" s="114">
        <f t="shared" si="4"/>
        <v>0</v>
      </c>
      <c r="K9" s="118">
        <f t="shared" si="5"/>
        <v>330</v>
      </c>
      <c r="L9" s="118">
        <f t="shared" si="6"/>
        <v>1483</v>
      </c>
      <c r="M9" s="118">
        <f t="shared" si="7"/>
        <v>0</v>
      </c>
      <c r="O9" s="118">
        <v>301865</v>
      </c>
      <c r="P9" s="114">
        <v>493821</v>
      </c>
      <c r="Q9" s="118">
        <v>3661931</v>
      </c>
      <c r="S9" s="114">
        <v>-10847</v>
      </c>
      <c r="T9" s="118">
        <v>-160207</v>
      </c>
      <c r="U9" s="114">
        <v>-1593768</v>
      </c>
      <c r="W9" s="114">
        <v>11696225</v>
      </c>
      <c r="X9" s="114"/>
      <c r="Y9" s="114">
        <v>1600606</v>
      </c>
      <c r="AA9" s="49"/>
    </row>
    <row r="10" spans="1:27" ht="20.100000000000001" customHeight="1" x14ac:dyDescent="0.25">
      <c r="A10" s="56">
        <v>104</v>
      </c>
      <c r="B10" s="73" t="s">
        <v>107</v>
      </c>
      <c r="C10" s="106">
        <f>'MFPRSI Supplemental Info 2015'!D10</f>
        <v>5.9148746335108164E-3</v>
      </c>
      <c r="D10" s="106">
        <v>5.8720899999999999E-3</v>
      </c>
      <c r="E10" s="114">
        <f>'MFPRSI Supplemental Info 2015'!W10</f>
        <v>2778891</v>
      </c>
      <c r="F10" s="114">
        <f t="shared" si="0"/>
        <v>2758792</v>
      </c>
      <c r="G10" s="114">
        <f t="shared" si="1"/>
        <v>-20099</v>
      </c>
      <c r="H10" s="114">
        <f t="shared" si="2"/>
        <v>441903</v>
      </c>
      <c r="I10" s="114">
        <f t="shared" si="3"/>
        <v>441903</v>
      </c>
      <c r="J10" s="114">
        <f t="shared" si="4"/>
        <v>0</v>
      </c>
      <c r="K10" s="118">
        <f t="shared" si="5"/>
        <v>-3654</v>
      </c>
      <c r="L10" s="118">
        <f t="shared" si="6"/>
        <v>0</v>
      </c>
      <c r="M10" s="118">
        <f t="shared" si="7"/>
        <v>-16445</v>
      </c>
      <c r="O10" s="118">
        <v>94759</v>
      </c>
      <c r="P10" s="114">
        <v>155016</v>
      </c>
      <c r="Q10" s="118">
        <v>1149525</v>
      </c>
      <c r="S10" s="114">
        <v>-3405</v>
      </c>
      <c r="T10" s="118">
        <v>-50291</v>
      </c>
      <c r="U10" s="114">
        <v>-500303</v>
      </c>
      <c r="W10" s="114">
        <v>3671588</v>
      </c>
      <c r="X10" s="114"/>
      <c r="Y10" s="114">
        <v>502450</v>
      </c>
      <c r="AA10" s="49"/>
    </row>
    <row r="11" spans="1:27" ht="20.100000000000001" customHeight="1" x14ac:dyDescent="0.25">
      <c r="A11" s="56">
        <v>105</v>
      </c>
      <c r="B11" s="73" t="s">
        <v>108</v>
      </c>
      <c r="C11" s="106">
        <f>'MFPRSI Supplemental Info 2015'!D11</f>
        <v>1.7988489201668793E-2</v>
      </c>
      <c r="D11" s="106">
        <v>1.8023230000000001E-2</v>
      </c>
      <c r="E11" s="114">
        <f>'MFPRSI Supplemental Info 2015'!W11</f>
        <v>8451250</v>
      </c>
      <c r="F11" s="114">
        <f t="shared" si="0"/>
        <v>8467572</v>
      </c>
      <c r="G11" s="114">
        <f t="shared" si="1"/>
        <v>16322</v>
      </c>
      <c r="H11" s="114">
        <f t="shared" si="2"/>
        <v>1356333</v>
      </c>
      <c r="I11" s="114">
        <f t="shared" si="3"/>
        <v>1356333</v>
      </c>
      <c r="J11" s="114">
        <f t="shared" si="4"/>
        <v>0</v>
      </c>
      <c r="K11" s="118">
        <f t="shared" si="5"/>
        <v>2968</v>
      </c>
      <c r="L11" s="118">
        <f t="shared" si="6"/>
        <v>13354</v>
      </c>
      <c r="M11" s="118">
        <f t="shared" si="7"/>
        <v>0</v>
      </c>
      <c r="O11" s="118">
        <v>290844</v>
      </c>
      <c r="P11" s="114">
        <v>475793</v>
      </c>
      <c r="Q11" s="118">
        <v>3528242</v>
      </c>
      <c r="S11" s="114">
        <v>-10451</v>
      </c>
      <c r="T11" s="118">
        <v>-154358</v>
      </c>
      <c r="U11" s="114">
        <v>-1535583</v>
      </c>
      <c r="W11" s="114">
        <v>11269222</v>
      </c>
      <c r="X11" s="114"/>
      <c r="Y11" s="114">
        <v>1542171</v>
      </c>
      <c r="AA11" s="49"/>
    </row>
    <row r="12" spans="1:27" ht="20.100000000000001" customHeight="1" x14ac:dyDescent="0.25">
      <c r="A12" s="56">
        <v>106</v>
      </c>
      <c r="B12" s="73" t="s">
        <v>109</v>
      </c>
      <c r="C12" s="106">
        <f>'MFPRSI Supplemental Info 2015'!D12</f>
        <v>2.6191444317951651E-3</v>
      </c>
      <c r="D12" s="106">
        <v>2.43648E-3</v>
      </c>
      <c r="E12" s="114">
        <f>'MFPRSI Supplemental Info 2015'!W12</f>
        <v>1230510</v>
      </c>
      <c r="F12" s="114">
        <f t="shared" si="0"/>
        <v>1144693</v>
      </c>
      <c r="G12" s="114">
        <f t="shared" si="1"/>
        <v>-85817</v>
      </c>
      <c r="H12" s="114">
        <f t="shared" si="2"/>
        <v>183357</v>
      </c>
      <c r="I12" s="114">
        <f t="shared" si="3"/>
        <v>183357</v>
      </c>
      <c r="J12" s="114">
        <f t="shared" si="4"/>
        <v>0</v>
      </c>
      <c r="K12" s="118">
        <f t="shared" si="5"/>
        <v>-15603</v>
      </c>
      <c r="L12" s="118">
        <f t="shared" si="6"/>
        <v>0</v>
      </c>
      <c r="M12" s="118">
        <f t="shared" si="7"/>
        <v>-70214</v>
      </c>
      <c r="O12" s="118">
        <v>39318</v>
      </c>
      <c r="P12" s="114">
        <v>64320</v>
      </c>
      <c r="Q12" s="118">
        <v>476967</v>
      </c>
      <c r="S12" s="114">
        <v>-1413</v>
      </c>
      <c r="T12" s="118">
        <v>-20867</v>
      </c>
      <c r="U12" s="114">
        <v>-207589</v>
      </c>
      <c r="W12" s="114">
        <v>1523436</v>
      </c>
      <c r="X12" s="114"/>
      <c r="Y12" s="114">
        <v>208479</v>
      </c>
      <c r="AA12" s="49"/>
    </row>
    <row r="13" spans="1:27" ht="20.100000000000001" customHeight="1" x14ac:dyDescent="0.25">
      <c r="A13" s="56">
        <v>107</v>
      </c>
      <c r="B13" s="73" t="s">
        <v>110</v>
      </c>
      <c r="C13" s="106">
        <f>'MFPRSI Supplemental Info 2015'!D13</f>
        <v>2.8797372273636278E-3</v>
      </c>
      <c r="D13" s="106">
        <v>2.9939599999999999E-3</v>
      </c>
      <c r="E13" s="114">
        <f>'MFPRSI Supplemental Info 2015'!W13</f>
        <v>1352943</v>
      </c>
      <c r="F13" s="114">
        <f t="shared" si="0"/>
        <v>1406605</v>
      </c>
      <c r="G13" s="114">
        <f t="shared" si="1"/>
        <v>53662</v>
      </c>
      <c r="H13" s="114">
        <f t="shared" si="2"/>
        <v>225310</v>
      </c>
      <c r="I13" s="114">
        <f t="shared" si="3"/>
        <v>225310</v>
      </c>
      <c r="J13" s="114">
        <f t="shared" si="4"/>
        <v>0</v>
      </c>
      <c r="K13" s="118">
        <f t="shared" si="5"/>
        <v>9757</v>
      </c>
      <c r="L13" s="118">
        <f t="shared" si="6"/>
        <v>43905</v>
      </c>
      <c r="M13" s="118">
        <f t="shared" si="7"/>
        <v>0</v>
      </c>
      <c r="O13" s="118">
        <v>48314</v>
      </c>
      <c r="P13" s="114">
        <v>79037</v>
      </c>
      <c r="Q13" s="118">
        <v>586100</v>
      </c>
      <c r="S13" s="114">
        <v>-1736</v>
      </c>
      <c r="T13" s="118">
        <v>-25641</v>
      </c>
      <c r="U13" s="114">
        <v>-255086</v>
      </c>
      <c r="W13" s="114">
        <v>1872006</v>
      </c>
      <c r="X13" s="114"/>
      <c r="Y13" s="114">
        <v>256180</v>
      </c>
      <c r="AA13" s="49"/>
    </row>
    <row r="14" spans="1:27" ht="20.100000000000001" customHeight="1" x14ac:dyDescent="0.25">
      <c r="A14" s="56">
        <v>108</v>
      </c>
      <c r="B14" s="73" t="s">
        <v>111</v>
      </c>
      <c r="C14" s="106">
        <f>'MFPRSI Supplemental Info 2015'!D14</f>
        <v>1.7270774359981172E-2</v>
      </c>
      <c r="D14" s="106">
        <v>1.7279389999999999E-2</v>
      </c>
      <c r="E14" s="114">
        <f>'MFPRSI Supplemental Info 2015'!W14</f>
        <v>8114055</v>
      </c>
      <c r="F14" s="114">
        <f t="shared" si="0"/>
        <v>8118105</v>
      </c>
      <c r="G14" s="114">
        <f t="shared" si="1"/>
        <v>4050</v>
      </c>
      <c r="H14" s="114">
        <f t="shared" si="2"/>
        <v>1300356</v>
      </c>
      <c r="I14" s="114">
        <f t="shared" si="3"/>
        <v>1300356</v>
      </c>
      <c r="J14" s="114">
        <f t="shared" si="4"/>
        <v>0</v>
      </c>
      <c r="K14" s="118">
        <f t="shared" si="5"/>
        <v>736</v>
      </c>
      <c r="L14" s="118">
        <f t="shared" si="6"/>
        <v>3314</v>
      </c>
      <c r="M14" s="118">
        <f t="shared" si="7"/>
        <v>0</v>
      </c>
      <c r="O14" s="118">
        <v>278841</v>
      </c>
      <c r="P14" s="114">
        <v>456156</v>
      </c>
      <c r="Q14" s="118">
        <v>3382628</v>
      </c>
      <c r="S14" s="114">
        <v>-10020</v>
      </c>
      <c r="T14" s="118">
        <v>-147987</v>
      </c>
      <c r="U14" s="114">
        <v>-1472208</v>
      </c>
      <c r="W14" s="114">
        <v>10804128</v>
      </c>
      <c r="X14" s="114"/>
      <c r="Y14" s="114">
        <v>1478524</v>
      </c>
      <c r="AA14" s="49"/>
    </row>
    <row r="15" spans="1:27" ht="20.100000000000001" customHeight="1" x14ac:dyDescent="0.25">
      <c r="A15" s="56">
        <v>109</v>
      </c>
      <c r="B15" s="73" t="s">
        <v>112</v>
      </c>
      <c r="C15" s="106">
        <f>'MFPRSI Supplemental Info 2015'!D15</f>
        <v>9.3574418911107071E-2</v>
      </c>
      <c r="D15" s="106">
        <v>9.313457E-2</v>
      </c>
      <c r="E15" s="114">
        <f>'MFPRSI Supplemental Info 2015'!W15</f>
        <v>43962603</v>
      </c>
      <c r="F15" s="114">
        <f t="shared" si="0"/>
        <v>43755956</v>
      </c>
      <c r="G15" s="114">
        <f t="shared" si="1"/>
        <v>-206647</v>
      </c>
      <c r="H15" s="114">
        <f t="shared" si="2"/>
        <v>7008817</v>
      </c>
      <c r="I15" s="114">
        <f t="shared" si="3"/>
        <v>7008817</v>
      </c>
      <c r="J15" s="114">
        <f t="shared" si="4"/>
        <v>0</v>
      </c>
      <c r="K15" s="118">
        <f t="shared" si="5"/>
        <v>-37572</v>
      </c>
      <c r="L15" s="118">
        <f t="shared" si="6"/>
        <v>0</v>
      </c>
      <c r="M15" s="118">
        <f t="shared" si="7"/>
        <v>-169075</v>
      </c>
      <c r="O15" s="118">
        <v>1502930</v>
      </c>
      <c r="P15" s="114">
        <v>2458646</v>
      </c>
      <c r="Q15" s="118">
        <v>18232100</v>
      </c>
      <c r="S15" s="114">
        <v>-54006</v>
      </c>
      <c r="T15" s="118">
        <v>-797640</v>
      </c>
      <c r="U15" s="114">
        <v>-7935085</v>
      </c>
      <c r="W15" s="114">
        <v>58233408</v>
      </c>
      <c r="X15" s="114"/>
      <c r="Y15" s="114">
        <v>7969129</v>
      </c>
      <c r="AA15" s="49"/>
    </row>
    <row r="16" spans="1:27" ht="20.100000000000001" customHeight="1" x14ac:dyDescent="0.25">
      <c r="A16" s="56">
        <v>110</v>
      </c>
      <c r="B16" s="73" t="s">
        <v>113</v>
      </c>
      <c r="C16" s="106">
        <f>'MFPRSI Supplemental Info 2015'!D16</f>
        <v>2.2354904440551643E-3</v>
      </c>
      <c r="D16" s="106">
        <v>2.4635799999999999E-3</v>
      </c>
      <c r="E16" s="114">
        <f>'MFPRSI Supplemental Info 2015'!W16</f>
        <v>1050265</v>
      </c>
      <c r="F16" s="114">
        <f t="shared" si="0"/>
        <v>1157425</v>
      </c>
      <c r="G16" s="114">
        <f t="shared" si="1"/>
        <v>107160</v>
      </c>
      <c r="H16" s="114">
        <f t="shared" si="2"/>
        <v>185396</v>
      </c>
      <c r="I16" s="114">
        <f t="shared" si="3"/>
        <v>185396</v>
      </c>
      <c r="J16" s="114">
        <f t="shared" si="4"/>
        <v>0</v>
      </c>
      <c r="K16" s="118">
        <f t="shared" si="5"/>
        <v>19484</v>
      </c>
      <c r="L16" s="118">
        <f t="shared" si="6"/>
        <v>87676</v>
      </c>
      <c r="M16" s="118">
        <f t="shared" si="7"/>
        <v>0</v>
      </c>
      <c r="O16" s="118">
        <v>39755</v>
      </c>
      <c r="P16" s="114">
        <v>65036</v>
      </c>
      <c r="Q16" s="118">
        <v>482272</v>
      </c>
      <c r="S16" s="114">
        <v>-1429</v>
      </c>
      <c r="T16" s="118">
        <v>-21099</v>
      </c>
      <c r="U16" s="114">
        <v>-209898</v>
      </c>
      <c r="W16" s="114">
        <v>1540380</v>
      </c>
      <c r="X16" s="114"/>
      <c r="Y16" s="114">
        <v>210798</v>
      </c>
      <c r="AA16" s="49"/>
    </row>
    <row r="17" spans="1:27" ht="20.100000000000001" customHeight="1" x14ac:dyDescent="0.25">
      <c r="A17" s="56">
        <v>111</v>
      </c>
      <c r="B17" s="73" t="s">
        <v>114</v>
      </c>
      <c r="C17" s="106">
        <f>'MFPRSI Supplemental Info 2015'!D17</f>
        <v>3.2524067434975281E-3</v>
      </c>
      <c r="D17" s="106">
        <v>3.34987E-3</v>
      </c>
      <c r="E17" s="114">
        <f>'MFPRSI Supplemental Info 2015'!W17</f>
        <v>1528029</v>
      </c>
      <c r="F17" s="114">
        <f t="shared" si="0"/>
        <v>1573817</v>
      </c>
      <c r="G17" s="114">
        <f t="shared" si="1"/>
        <v>45788</v>
      </c>
      <c r="H17" s="114">
        <f t="shared" si="2"/>
        <v>252094</v>
      </c>
      <c r="I17" s="114">
        <f t="shared" si="3"/>
        <v>252094</v>
      </c>
      <c r="J17" s="114">
        <f t="shared" si="4"/>
        <v>0</v>
      </c>
      <c r="K17" s="118">
        <f t="shared" si="5"/>
        <v>8325</v>
      </c>
      <c r="L17" s="118">
        <f t="shared" si="6"/>
        <v>37463</v>
      </c>
      <c r="M17" s="118">
        <f t="shared" si="7"/>
        <v>0</v>
      </c>
      <c r="O17" s="118">
        <v>54057</v>
      </c>
      <c r="P17" s="114">
        <v>88433</v>
      </c>
      <c r="Q17" s="118">
        <v>655773</v>
      </c>
      <c r="S17" s="114">
        <v>-1942</v>
      </c>
      <c r="T17" s="118">
        <v>-28690</v>
      </c>
      <c r="U17" s="114">
        <v>-285410</v>
      </c>
      <c r="W17" s="114">
        <v>2094543</v>
      </c>
      <c r="X17" s="114"/>
      <c r="Y17" s="114">
        <v>286634</v>
      </c>
      <c r="AA17" s="49"/>
    </row>
    <row r="18" spans="1:27" ht="20.100000000000001" customHeight="1" x14ac:dyDescent="0.25">
      <c r="A18" s="56">
        <v>112</v>
      </c>
      <c r="B18" s="73" t="s">
        <v>115</v>
      </c>
      <c r="C18" s="106">
        <f>'MFPRSI Supplemental Info 2015'!D18</f>
        <v>1.9325748304902298E-2</v>
      </c>
      <c r="D18" s="106">
        <v>1.907348E-2</v>
      </c>
      <c r="E18" s="114">
        <f>'MFPRSI Supplemental Info 2015'!W18</f>
        <v>9079514</v>
      </c>
      <c r="F18" s="114">
        <f t="shared" si="0"/>
        <v>8960994</v>
      </c>
      <c r="G18" s="114">
        <f t="shared" si="1"/>
        <v>-118520</v>
      </c>
      <c r="H18" s="114">
        <f t="shared" si="2"/>
        <v>1435370</v>
      </c>
      <c r="I18" s="114">
        <f t="shared" si="3"/>
        <v>1435370</v>
      </c>
      <c r="J18" s="114">
        <f t="shared" si="4"/>
        <v>0</v>
      </c>
      <c r="K18" s="118">
        <f t="shared" si="5"/>
        <v>-21549</v>
      </c>
      <c r="L18" s="118">
        <f t="shared" si="6"/>
        <v>0</v>
      </c>
      <c r="M18" s="118">
        <f t="shared" si="7"/>
        <v>-96971</v>
      </c>
      <c r="O18" s="118">
        <v>307792</v>
      </c>
      <c r="P18" s="114">
        <v>503518</v>
      </c>
      <c r="Q18" s="118">
        <v>3733840</v>
      </c>
      <c r="S18" s="114">
        <v>-11060</v>
      </c>
      <c r="T18" s="118">
        <v>-163353</v>
      </c>
      <c r="U18" s="114">
        <v>-1625065</v>
      </c>
      <c r="W18" s="114">
        <v>11925902</v>
      </c>
      <c r="X18" s="114"/>
      <c r="Y18" s="114">
        <v>1632037</v>
      </c>
      <c r="AA18" s="49"/>
    </row>
    <row r="19" spans="1:27" ht="20.100000000000001" customHeight="1" x14ac:dyDescent="0.25">
      <c r="A19" s="56">
        <v>113</v>
      </c>
      <c r="B19" s="73" t="s">
        <v>116</v>
      </c>
      <c r="C19" s="106">
        <f>'MFPRSI Supplemental Info 2015'!D19</f>
        <v>5.9059842335465185E-3</v>
      </c>
      <c r="D19" s="106">
        <v>6.0141200000000004E-3</v>
      </c>
      <c r="E19" s="114">
        <f>'MFPRSI Supplemental Info 2015'!W19</f>
        <v>2774719</v>
      </c>
      <c r="F19" s="114">
        <f t="shared" si="0"/>
        <v>2825520</v>
      </c>
      <c r="G19" s="114">
        <f t="shared" si="1"/>
        <v>50801</v>
      </c>
      <c r="H19" s="114">
        <f t="shared" si="2"/>
        <v>452591</v>
      </c>
      <c r="I19" s="114">
        <f t="shared" si="3"/>
        <v>452591</v>
      </c>
      <c r="J19" s="114">
        <f t="shared" si="4"/>
        <v>0</v>
      </c>
      <c r="K19" s="118">
        <f t="shared" si="5"/>
        <v>9237</v>
      </c>
      <c r="L19" s="118">
        <f t="shared" si="6"/>
        <v>41564</v>
      </c>
      <c r="M19" s="118">
        <f t="shared" si="7"/>
        <v>0</v>
      </c>
      <c r="O19" s="118">
        <v>97051</v>
      </c>
      <c r="P19" s="114">
        <v>158766</v>
      </c>
      <c r="Q19" s="118">
        <v>1177329</v>
      </c>
      <c r="S19" s="114">
        <v>-3487</v>
      </c>
      <c r="T19" s="118">
        <v>-51507</v>
      </c>
      <c r="U19" s="114">
        <v>-512404</v>
      </c>
      <c r="W19" s="114">
        <v>3760394</v>
      </c>
      <c r="X19" s="114"/>
      <c r="Y19" s="114">
        <v>514603</v>
      </c>
      <c r="AA19" s="49"/>
    </row>
    <row r="20" spans="1:27" ht="20.100000000000001" customHeight="1" x14ac:dyDescent="0.25">
      <c r="A20" s="56">
        <v>114</v>
      </c>
      <c r="B20" s="73" t="s">
        <v>117</v>
      </c>
      <c r="C20" s="106">
        <f>'MFPRSI Supplemental Info 2015'!D20</f>
        <v>5.8799312236652468E-2</v>
      </c>
      <c r="D20" s="106">
        <v>5.9174749999999998E-2</v>
      </c>
      <c r="E20" s="114">
        <f>'MFPRSI Supplemental Info 2015'!W20</f>
        <v>27624758</v>
      </c>
      <c r="F20" s="114">
        <f t="shared" si="0"/>
        <v>27801145</v>
      </c>
      <c r="G20" s="114">
        <f t="shared" si="1"/>
        <v>176387</v>
      </c>
      <c r="H20" s="114">
        <f t="shared" si="2"/>
        <v>4453180</v>
      </c>
      <c r="I20" s="114">
        <f t="shared" si="3"/>
        <v>4453180</v>
      </c>
      <c r="J20" s="114">
        <f t="shared" si="4"/>
        <v>0</v>
      </c>
      <c r="K20" s="118">
        <f t="shared" si="5"/>
        <v>32070</v>
      </c>
      <c r="L20" s="118">
        <f t="shared" si="6"/>
        <v>144317</v>
      </c>
      <c r="M20" s="118">
        <f t="shared" si="7"/>
        <v>0</v>
      </c>
      <c r="O20" s="118">
        <v>954914</v>
      </c>
      <c r="P20" s="114">
        <v>1562146</v>
      </c>
      <c r="Q20" s="118">
        <v>11584098</v>
      </c>
      <c r="S20" s="114">
        <v>-34313</v>
      </c>
      <c r="T20" s="118">
        <v>-506795</v>
      </c>
      <c r="U20" s="114">
        <v>-5041701</v>
      </c>
      <c r="W20" s="114">
        <v>36999659</v>
      </c>
      <c r="X20" s="114"/>
      <c r="Y20" s="114">
        <v>5063332</v>
      </c>
      <c r="AA20" s="49"/>
    </row>
    <row r="21" spans="1:27" ht="20.100000000000001" customHeight="1" x14ac:dyDescent="0.25">
      <c r="A21" s="56">
        <v>115</v>
      </c>
      <c r="B21" s="73" t="s">
        <v>118</v>
      </c>
      <c r="C21" s="106">
        <f>'MFPRSI Supplemental Info 2015'!D21</f>
        <v>2.9174681349695129E-3</v>
      </c>
      <c r="D21" s="106">
        <v>2.8960600000000002E-3</v>
      </c>
      <c r="E21" s="114">
        <f>'MFPRSI Supplemental Info 2015'!W21</f>
        <v>1370669</v>
      </c>
      <c r="F21" s="114">
        <f t="shared" si="0"/>
        <v>1360610</v>
      </c>
      <c r="G21" s="114">
        <f t="shared" si="1"/>
        <v>-10059</v>
      </c>
      <c r="H21" s="114">
        <f t="shared" si="2"/>
        <v>217942</v>
      </c>
      <c r="I21" s="114">
        <f t="shared" si="3"/>
        <v>217942</v>
      </c>
      <c r="J21" s="114">
        <f t="shared" si="4"/>
        <v>0</v>
      </c>
      <c r="K21" s="118">
        <f t="shared" si="5"/>
        <v>-1829</v>
      </c>
      <c r="L21" s="118">
        <f t="shared" si="6"/>
        <v>0</v>
      </c>
      <c r="M21" s="118">
        <f t="shared" si="7"/>
        <v>-8230</v>
      </c>
      <c r="O21" s="118">
        <v>46734</v>
      </c>
      <c r="P21" s="114">
        <v>76453</v>
      </c>
      <c r="Q21" s="118">
        <v>566935</v>
      </c>
      <c r="S21" s="114">
        <v>-1679</v>
      </c>
      <c r="T21" s="118">
        <v>-24803</v>
      </c>
      <c r="U21" s="114">
        <v>-246745</v>
      </c>
      <c r="W21" s="114">
        <v>1810793</v>
      </c>
      <c r="X21" s="114"/>
      <c r="Y21" s="114">
        <v>247804</v>
      </c>
      <c r="AA21" s="49"/>
    </row>
    <row r="22" spans="1:27" ht="20.100000000000001" customHeight="1" x14ac:dyDescent="0.25">
      <c r="A22" s="56">
        <v>116</v>
      </c>
      <c r="B22" s="73" t="s">
        <v>119</v>
      </c>
      <c r="C22" s="106">
        <f>'MFPRSI Supplemental Info 2015'!D22</f>
        <v>8.0960533859364137E-2</v>
      </c>
      <c r="D22" s="106">
        <v>8.1133689999999994E-2</v>
      </c>
      <c r="E22" s="114">
        <f>'MFPRSI Supplemental Info 2015'!W22</f>
        <v>38036417</v>
      </c>
      <c r="F22" s="114">
        <f t="shared" si="0"/>
        <v>38117770</v>
      </c>
      <c r="G22" s="114">
        <f t="shared" si="1"/>
        <v>81353</v>
      </c>
      <c r="H22" s="114">
        <f t="shared" si="2"/>
        <v>6105694</v>
      </c>
      <c r="I22" s="114">
        <f t="shared" si="3"/>
        <v>6105694</v>
      </c>
      <c r="J22" s="114">
        <f t="shared" si="4"/>
        <v>0</v>
      </c>
      <c r="K22" s="118">
        <f t="shared" si="5"/>
        <v>14791</v>
      </c>
      <c r="L22" s="118">
        <f t="shared" si="6"/>
        <v>66562</v>
      </c>
      <c r="M22" s="118">
        <f t="shared" si="7"/>
        <v>0</v>
      </c>
      <c r="O22" s="118">
        <v>1309269</v>
      </c>
      <c r="P22" s="114">
        <v>2141837</v>
      </c>
      <c r="Q22" s="118">
        <v>15882798</v>
      </c>
      <c r="S22" s="114">
        <v>-47047</v>
      </c>
      <c r="T22" s="118">
        <v>-694860</v>
      </c>
      <c r="U22" s="114">
        <v>-6912607</v>
      </c>
      <c r="W22" s="114">
        <v>50729727</v>
      </c>
      <c r="X22" s="114"/>
      <c r="Y22" s="114">
        <v>6942265</v>
      </c>
      <c r="AA22" s="49"/>
    </row>
    <row r="23" spans="1:27" ht="20.100000000000001" customHeight="1" x14ac:dyDescent="0.25">
      <c r="A23" s="56">
        <v>117</v>
      </c>
      <c r="B23" s="73" t="s">
        <v>120</v>
      </c>
      <c r="C23" s="106">
        <f>'MFPRSI Supplemental Info 2015'!D23</f>
        <v>2.9432239622285651E-3</v>
      </c>
      <c r="D23" s="106">
        <v>2.8899199999999998E-3</v>
      </c>
      <c r="E23" s="114">
        <f>'MFPRSI Supplemental Info 2015'!W23</f>
        <v>1382767</v>
      </c>
      <c r="F23" s="114">
        <f t="shared" si="0"/>
        <v>1357726</v>
      </c>
      <c r="G23" s="114">
        <f t="shared" si="1"/>
        <v>-25041</v>
      </c>
      <c r="H23" s="114">
        <f t="shared" si="2"/>
        <v>217480</v>
      </c>
      <c r="I23" s="114">
        <f t="shared" si="3"/>
        <v>217480</v>
      </c>
      <c r="J23" s="114">
        <f t="shared" si="4"/>
        <v>0</v>
      </c>
      <c r="K23" s="118">
        <f t="shared" si="5"/>
        <v>-4553</v>
      </c>
      <c r="L23" s="118">
        <f t="shared" si="6"/>
        <v>0</v>
      </c>
      <c r="M23" s="118">
        <f t="shared" si="7"/>
        <v>-20488</v>
      </c>
      <c r="O23" s="118">
        <v>46635</v>
      </c>
      <c r="P23" s="114">
        <v>76291</v>
      </c>
      <c r="Q23" s="118">
        <v>565733</v>
      </c>
      <c r="S23" s="114">
        <v>-1676</v>
      </c>
      <c r="T23" s="118">
        <v>-24750</v>
      </c>
      <c r="U23" s="114">
        <v>-246222</v>
      </c>
      <c r="W23" s="114">
        <v>1806954</v>
      </c>
      <c r="X23" s="114"/>
      <c r="Y23" s="114">
        <v>247278</v>
      </c>
      <c r="AA23" s="49"/>
    </row>
    <row r="24" spans="1:27" ht="20.100000000000001" customHeight="1" x14ac:dyDescent="0.25">
      <c r="A24" s="56">
        <v>118</v>
      </c>
      <c r="B24" s="73" t="s">
        <v>121</v>
      </c>
      <c r="C24" s="106">
        <f>'MFPRSI Supplemental Info 2015'!D24</f>
        <v>0.1830480436587103</v>
      </c>
      <c r="D24" s="106">
        <v>0.18298306</v>
      </c>
      <c r="E24" s="114">
        <f>'MFPRSI Supplemental Info 2015'!W24</f>
        <v>85998596</v>
      </c>
      <c r="F24" s="114">
        <f t="shared" si="0"/>
        <v>85968064</v>
      </c>
      <c r="G24" s="114">
        <f t="shared" si="1"/>
        <v>-30532</v>
      </c>
      <c r="H24" s="114">
        <f t="shared" si="2"/>
        <v>13770340</v>
      </c>
      <c r="I24" s="114">
        <f t="shared" si="3"/>
        <v>13770340</v>
      </c>
      <c r="J24" s="114">
        <f t="shared" si="4"/>
        <v>0</v>
      </c>
      <c r="K24" s="118">
        <f t="shared" si="5"/>
        <v>-5551</v>
      </c>
      <c r="L24" s="118">
        <f t="shared" si="6"/>
        <v>0</v>
      </c>
      <c r="M24" s="118">
        <f t="shared" si="7"/>
        <v>-24981</v>
      </c>
      <c r="O24" s="118">
        <v>2952832</v>
      </c>
      <c r="P24" s="114">
        <v>4830541</v>
      </c>
      <c r="Q24" s="118">
        <v>35820920</v>
      </c>
      <c r="S24" s="114">
        <v>-106104</v>
      </c>
      <c r="T24" s="118">
        <v>-1567136</v>
      </c>
      <c r="U24" s="114">
        <v>-15590193</v>
      </c>
      <c r="W24" s="114">
        <v>114412167</v>
      </c>
      <c r="X24" s="114"/>
      <c r="Y24" s="114">
        <v>15657085</v>
      </c>
      <c r="AA24" s="49"/>
    </row>
    <row r="25" spans="1:27" ht="20.100000000000001" customHeight="1" x14ac:dyDescent="0.25">
      <c r="A25" s="56">
        <v>119</v>
      </c>
      <c r="B25" s="73" t="s">
        <v>122</v>
      </c>
      <c r="C25" s="106">
        <f>'MFPRSI Supplemental Info 2015'!D25</f>
        <v>2.2493840451277202E-3</v>
      </c>
      <c r="D25" s="106">
        <v>2.3360099999999999E-3</v>
      </c>
      <c r="E25" s="114">
        <f>'MFPRSI Supplemental Info 2015'!W25</f>
        <v>1056791</v>
      </c>
      <c r="F25" s="114">
        <f t="shared" si="0"/>
        <v>1097491</v>
      </c>
      <c r="G25" s="114">
        <f t="shared" si="1"/>
        <v>40700</v>
      </c>
      <c r="H25" s="114">
        <f t="shared" si="2"/>
        <v>175796</v>
      </c>
      <c r="I25" s="114">
        <f t="shared" si="3"/>
        <v>175796</v>
      </c>
      <c r="J25" s="114">
        <f t="shared" si="4"/>
        <v>0</v>
      </c>
      <c r="K25" s="118">
        <f t="shared" si="5"/>
        <v>7400</v>
      </c>
      <c r="L25" s="118">
        <f t="shared" si="6"/>
        <v>33300</v>
      </c>
      <c r="M25" s="118">
        <f t="shared" si="7"/>
        <v>0</v>
      </c>
      <c r="O25" s="118">
        <v>37697</v>
      </c>
      <c r="P25" s="114">
        <v>61668</v>
      </c>
      <c r="Q25" s="118">
        <v>457299</v>
      </c>
      <c r="S25" s="114">
        <v>-1355</v>
      </c>
      <c r="T25" s="118">
        <v>-20006</v>
      </c>
      <c r="U25" s="114">
        <v>-199029</v>
      </c>
      <c r="W25" s="114">
        <v>1460616</v>
      </c>
      <c r="X25" s="114"/>
      <c r="Y25" s="114">
        <v>199882</v>
      </c>
      <c r="AA25" s="49"/>
    </row>
    <row r="26" spans="1:27" ht="20.100000000000001" customHeight="1" x14ac:dyDescent="0.25">
      <c r="A26" s="56">
        <v>120</v>
      </c>
      <c r="B26" s="73" t="s">
        <v>123</v>
      </c>
      <c r="C26" s="106">
        <f>'MFPRSI Supplemental Info 2015'!D26</f>
        <v>4.9854905286957844E-2</v>
      </c>
      <c r="D26" s="106">
        <v>4.9532850000000003E-2</v>
      </c>
      <c r="E26" s="114">
        <f>'MFPRSI Supplemental Info 2015'!W26</f>
        <v>23422551</v>
      </c>
      <c r="F26" s="114">
        <f t="shared" si="0"/>
        <v>23271243</v>
      </c>
      <c r="G26" s="114">
        <f t="shared" si="1"/>
        <v>-151308</v>
      </c>
      <c r="H26" s="114">
        <f t="shared" si="2"/>
        <v>3727581</v>
      </c>
      <c r="I26" s="114">
        <f t="shared" si="3"/>
        <v>3727581</v>
      </c>
      <c r="J26" s="114">
        <f t="shared" si="4"/>
        <v>0</v>
      </c>
      <c r="K26" s="118">
        <f t="shared" si="5"/>
        <v>-27511</v>
      </c>
      <c r="L26" s="118">
        <f t="shared" si="6"/>
        <v>0</v>
      </c>
      <c r="M26" s="118">
        <f t="shared" si="7"/>
        <v>-123797</v>
      </c>
      <c r="O26" s="118">
        <v>799321</v>
      </c>
      <c r="P26" s="114">
        <v>1307611</v>
      </c>
      <c r="Q26" s="118">
        <v>9696592</v>
      </c>
      <c r="S26" s="114">
        <v>-28722</v>
      </c>
      <c r="T26" s="118">
        <v>-424218</v>
      </c>
      <c r="U26" s="114">
        <v>-4220209</v>
      </c>
      <c r="W26" s="114">
        <v>30970956</v>
      </c>
      <c r="X26" s="114"/>
      <c r="Y26" s="114">
        <v>4238316</v>
      </c>
      <c r="AA26" s="49"/>
    </row>
    <row r="27" spans="1:27" ht="20.100000000000001" customHeight="1" x14ac:dyDescent="0.25">
      <c r="A27" s="56">
        <v>121</v>
      </c>
      <c r="B27" s="73" t="s">
        <v>124</v>
      </c>
      <c r="C27" s="106">
        <f>'MFPRSI Supplemental Info 2015'!D27</f>
        <v>2.3507396204611765E-3</v>
      </c>
      <c r="D27" s="106">
        <v>2.16914E-3</v>
      </c>
      <c r="E27" s="114">
        <f>'MFPRSI Supplemental Info 2015'!W27</f>
        <v>1104411</v>
      </c>
      <c r="F27" s="114">
        <f t="shared" si="0"/>
        <v>1019093</v>
      </c>
      <c r="G27" s="114">
        <f t="shared" si="1"/>
        <v>-85318</v>
      </c>
      <c r="H27" s="114">
        <f t="shared" si="2"/>
        <v>163238</v>
      </c>
      <c r="I27" s="114">
        <f t="shared" si="3"/>
        <v>163238</v>
      </c>
      <c r="J27" s="114">
        <f t="shared" si="4"/>
        <v>0</v>
      </c>
      <c r="K27" s="118">
        <f t="shared" si="5"/>
        <v>-15512</v>
      </c>
      <c r="L27" s="118">
        <f t="shared" si="6"/>
        <v>0</v>
      </c>
      <c r="M27" s="118">
        <f t="shared" si="7"/>
        <v>-69806</v>
      </c>
      <c r="O27" s="118">
        <v>35004</v>
      </c>
      <c r="P27" s="114">
        <v>57263</v>
      </c>
      <c r="Q27" s="118">
        <v>424633</v>
      </c>
      <c r="S27" s="114">
        <v>-1258</v>
      </c>
      <c r="T27" s="118">
        <v>-18577</v>
      </c>
      <c r="U27" s="114">
        <v>-184811</v>
      </c>
      <c r="W27" s="114">
        <v>1356279</v>
      </c>
      <c r="X27" s="114"/>
      <c r="Y27" s="114">
        <v>185604</v>
      </c>
      <c r="AA27" s="49"/>
    </row>
    <row r="28" spans="1:27" ht="20.100000000000001" customHeight="1" x14ac:dyDescent="0.25">
      <c r="A28" s="56">
        <v>122</v>
      </c>
      <c r="B28" s="73" t="s">
        <v>125</v>
      </c>
      <c r="C28" s="106">
        <f>'MFPRSI Supplemental Info 2015'!D28</f>
        <v>1.0593494637289424E-3</v>
      </c>
      <c r="D28" s="106">
        <v>1.22988E-3</v>
      </c>
      <c r="E28" s="114">
        <f>'MFPRSI Supplemental Info 2015'!W28</f>
        <v>497698</v>
      </c>
      <c r="F28" s="114">
        <f t="shared" si="0"/>
        <v>577815</v>
      </c>
      <c r="G28" s="114">
        <f t="shared" si="1"/>
        <v>80117</v>
      </c>
      <c r="H28" s="114">
        <f t="shared" si="2"/>
        <v>92554</v>
      </c>
      <c r="I28" s="114">
        <f t="shared" si="3"/>
        <v>92554</v>
      </c>
      <c r="J28" s="114">
        <f t="shared" si="4"/>
        <v>0</v>
      </c>
      <c r="K28" s="118">
        <f t="shared" si="5"/>
        <v>14567</v>
      </c>
      <c r="L28" s="118">
        <f t="shared" si="6"/>
        <v>65550</v>
      </c>
      <c r="M28" s="118">
        <f t="shared" si="7"/>
        <v>0</v>
      </c>
      <c r="O28" s="118">
        <v>19847</v>
      </c>
      <c r="P28" s="114">
        <v>32467</v>
      </c>
      <c r="Q28" s="118">
        <v>240762</v>
      </c>
      <c r="S28" s="114">
        <v>-713</v>
      </c>
      <c r="T28" s="118">
        <v>-10533</v>
      </c>
      <c r="U28" s="114">
        <v>-104786</v>
      </c>
      <c r="W28" s="114">
        <v>768996</v>
      </c>
      <c r="X28" s="114"/>
      <c r="Y28" s="114">
        <v>105236</v>
      </c>
      <c r="AA28" s="49"/>
    </row>
    <row r="29" spans="1:27" ht="20.100000000000001" customHeight="1" x14ac:dyDescent="0.25">
      <c r="A29" s="56">
        <v>123</v>
      </c>
      <c r="B29" s="73" t="s">
        <v>126</v>
      </c>
      <c r="C29" s="106">
        <f>'MFPRSI Supplemental Info 2015'!D29</f>
        <v>3.3350410675662499E-3</v>
      </c>
      <c r="D29" s="106">
        <v>3.4241300000000001E-3</v>
      </c>
      <c r="E29" s="114">
        <f>'MFPRSI Supplemental Info 2015'!W29</f>
        <v>1566850</v>
      </c>
      <c r="F29" s="114">
        <f t="shared" si="0"/>
        <v>1608705</v>
      </c>
      <c r="G29" s="114">
        <f t="shared" si="1"/>
        <v>41855</v>
      </c>
      <c r="H29" s="114">
        <f t="shared" si="2"/>
        <v>257682</v>
      </c>
      <c r="I29" s="114">
        <f t="shared" si="3"/>
        <v>257682</v>
      </c>
      <c r="J29" s="114">
        <f t="shared" si="4"/>
        <v>0</v>
      </c>
      <c r="K29" s="118">
        <f t="shared" si="5"/>
        <v>7610</v>
      </c>
      <c r="L29" s="118">
        <f t="shared" si="6"/>
        <v>34245</v>
      </c>
      <c r="M29" s="118">
        <f t="shared" si="7"/>
        <v>0</v>
      </c>
      <c r="O29" s="118">
        <v>55256</v>
      </c>
      <c r="P29" s="114">
        <v>90393</v>
      </c>
      <c r="Q29" s="118">
        <v>670311</v>
      </c>
      <c r="S29" s="114">
        <v>-1986</v>
      </c>
      <c r="T29" s="118">
        <v>-29326</v>
      </c>
      <c r="U29" s="114">
        <v>-291737</v>
      </c>
      <c r="W29" s="114">
        <v>2140975</v>
      </c>
      <c r="X29" s="114"/>
      <c r="Y29" s="114">
        <v>292988</v>
      </c>
      <c r="AA29" s="49"/>
    </row>
    <row r="30" spans="1:27" ht="20.100000000000001" customHeight="1" x14ac:dyDescent="0.25">
      <c r="A30" s="56">
        <v>124</v>
      </c>
      <c r="B30" s="73" t="s">
        <v>127</v>
      </c>
      <c r="C30" s="106">
        <f>'MFPRSI Supplemental Info 2015'!D30</f>
        <v>1.452899507395352E-2</v>
      </c>
      <c r="D30" s="106">
        <v>1.4646299999999999E-2</v>
      </c>
      <c r="E30" s="114">
        <f>'MFPRSI Supplemental Info 2015'!W30</f>
        <v>6825932</v>
      </c>
      <c r="F30" s="114">
        <f t="shared" si="0"/>
        <v>6881042</v>
      </c>
      <c r="G30" s="114">
        <f t="shared" si="1"/>
        <v>55110</v>
      </c>
      <c r="H30" s="114">
        <f t="shared" si="2"/>
        <v>1102203</v>
      </c>
      <c r="I30" s="114">
        <f t="shared" si="3"/>
        <v>1102203</v>
      </c>
      <c r="J30" s="114">
        <f t="shared" si="4"/>
        <v>0</v>
      </c>
      <c r="K30" s="118">
        <f t="shared" si="5"/>
        <v>10020</v>
      </c>
      <c r="L30" s="118">
        <f t="shared" si="6"/>
        <v>45090</v>
      </c>
      <c r="M30" s="118">
        <f t="shared" si="7"/>
        <v>0</v>
      </c>
      <c r="O30" s="118">
        <v>236350</v>
      </c>
      <c r="P30" s="114">
        <v>386646</v>
      </c>
      <c r="Q30" s="118">
        <v>2867172</v>
      </c>
      <c r="S30" s="114">
        <v>-8493</v>
      </c>
      <c r="T30" s="118">
        <v>-125436</v>
      </c>
      <c r="U30" s="114">
        <v>-1247868</v>
      </c>
      <c r="W30" s="114">
        <v>9157759</v>
      </c>
      <c r="X30" s="114"/>
      <c r="Y30" s="114">
        <v>1253222</v>
      </c>
      <c r="AA30" s="49"/>
    </row>
    <row r="31" spans="1:27" ht="20.100000000000001" customHeight="1" x14ac:dyDescent="0.25">
      <c r="A31" s="56">
        <v>125</v>
      </c>
      <c r="B31" s="73" t="s">
        <v>128</v>
      </c>
      <c r="C31" s="106">
        <f>'MFPRSI Supplemental Info 2015'!D31</f>
        <v>7.1055361824670206E-3</v>
      </c>
      <c r="D31" s="106">
        <v>7.10751E-3</v>
      </c>
      <c r="E31" s="114">
        <f>'MFPRSI Supplemental Info 2015'!W31</f>
        <v>3338280</v>
      </c>
      <c r="F31" s="114">
        <f t="shared" si="0"/>
        <v>3339210</v>
      </c>
      <c r="G31" s="114">
        <f t="shared" si="1"/>
        <v>930</v>
      </c>
      <c r="H31" s="114">
        <f t="shared" si="2"/>
        <v>534874</v>
      </c>
      <c r="I31" s="114">
        <f t="shared" si="3"/>
        <v>534874</v>
      </c>
      <c r="J31" s="114">
        <f t="shared" si="4"/>
        <v>0</v>
      </c>
      <c r="K31" s="118">
        <f t="shared" si="5"/>
        <v>169</v>
      </c>
      <c r="L31" s="118">
        <f t="shared" si="6"/>
        <v>761</v>
      </c>
      <c r="M31" s="118">
        <f t="shared" si="7"/>
        <v>0</v>
      </c>
      <c r="O31" s="118">
        <v>114695</v>
      </c>
      <c r="P31" s="114">
        <v>187630</v>
      </c>
      <c r="Q31" s="118">
        <v>1391372</v>
      </c>
      <c r="S31" s="114">
        <v>-4121</v>
      </c>
      <c r="T31" s="118">
        <v>-60871</v>
      </c>
      <c r="U31" s="114">
        <v>-605561</v>
      </c>
      <c r="W31" s="114">
        <v>4444048</v>
      </c>
      <c r="X31" s="114"/>
      <c r="Y31" s="114">
        <v>608159</v>
      </c>
      <c r="AA31" s="49"/>
    </row>
    <row r="32" spans="1:27" ht="20.100000000000001" customHeight="1" x14ac:dyDescent="0.25">
      <c r="A32" s="56">
        <v>126</v>
      </c>
      <c r="B32" s="73" t="s">
        <v>129</v>
      </c>
      <c r="C32" s="106">
        <f>'MFPRSI Supplemental Info 2015'!D32</f>
        <v>3.8365649561023021E-3</v>
      </c>
      <c r="D32" s="106">
        <v>4.0621600000000004E-3</v>
      </c>
      <c r="E32" s="114">
        <f>'MFPRSI Supplemental Info 2015'!W32</f>
        <v>1802471</v>
      </c>
      <c r="F32" s="114">
        <f t="shared" si="0"/>
        <v>1908461</v>
      </c>
      <c r="G32" s="114">
        <f t="shared" si="1"/>
        <v>105990</v>
      </c>
      <c r="H32" s="114">
        <f t="shared" si="2"/>
        <v>305697</v>
      </c>
      <c r="I32" s="114">
        <f t="shared" si="3"/>
        <v>305697</v>
      </c>
      <c r="J32" s="114">
        <f t="shared" si="4"/>
        <v>0</v>
      </c>
      <c r="K32" s="118">
        <f t="shared" si="5"/>
        <v>19271</v>
      </c>
      <c r="L32" s="118">
        <f t="shared" si="6"/>
        <v>86719</v>
      </c>
      <c r="M32" s="118">
        <f t="shared" si="7"/>
        <v>0</v>
      </c>
      <c r="O32" s="118">
        <v>65552</v>
      </c>
      <c r="P32" s="114">
        <v>107236</v>
      </c>
      <c r="Q32" s="118">
        <v>795212</v>
      </c>
      <c r="S32" s="114">
        <v>-2356</v>
      </c>
      <c r="T32" s="118">
        <v>-34790</v>
      </c>
      <c r="U32" s="114">
        <v>-346097</v>
      </c>
      <c r="W32" s="114">
        <v>2539910</v>
      </c>
      <c r="X32" s="114"/>
      <c r="Y32" s="114">
        <v>347582</v>
      </c>
      <c r="AA32" s="49"/>
    </row>
    <row r="33" spans="1:27" ht="20.100000000000001" customHeight="1" x14ac:dyDescent="0.25">
      <c r="A33" s="56">
        <v>127</v>
      </c>
      <c r="B33" s="73" t="s">
        <v>130</v>
      </c>
      <c r="C33" s="106">
        <f>'MFPRSI Supplemental Info 2015'!D33</f>
        <v>4.5037462126614018E-3</v>
      </c>
      <c r="D33" s="106">
        <v>4.4648400000000003E-3</v>
      </c>
      <c r="E33" s="114">
        <f>'MFPRSI Supplemental Info 2015'!W33</f>
        <v>2115926</v>
      </c>
      <c r="F33" s="114">
        <f t="shared" si="0"/>
        <v>2097646</v>
      </c>
      <c r="G33" s="114">
        <f t="shared" si="1"/>
        <v>-18280</v>
      </c>
      <c r="H33" s="114">
        <f t="shared" si="2"/>
        <v>336000</v>
      </c>
      <c r="I33" s="114">
        <f t="shared" si="3"/>
        <v>336000</v>
      </c>
      <c r="J33" s="114">
        <f t="shared" si="4"/>
        <v>0</v>
      </c>
      <c r="K33" s="118">
        <f t="shared" si="5"/>
        <v>-3324</v>
      </c>
      <c r="L33" s="118">
        <f t="shared" si="6"/>
        <v>0</v>
      </c>
      <c r="M33" s="118">
        <f t="shared" si="7"/>
        <v>-14956</v>
      </c>
      <c r="O33" s="118">
        <v>72050</v>
      </c>
      <c r="P33" s="114">
        <v>117867</v>
      </c>
      <c r="Q33" s="118">
        <v>874041</v>
      </c>
      <c r="S33" s="114">
        <v>-2589</v>
      </c>
      <c r="T33" s="118">
        <v>-38239</v>
      </c>
      <c r="U33" s="114">
        <v>-380405</v>
      </c>
      <c r="W33" s="114">
        <v>2791690</v>
      </c>
      <c r="X33" s="114"/>
      <c r="Y33" s="114">
        <v>382037</v>
      </c>
      <c r="AA33" s="49"/>
    </row>
    <row r="34" spans="1:27" ht="20.100000000000001" customHeight="1" x14ac:dyDescent="0.25">
      <c r="A34" s="56">
        <v>128</v>
      </c>
      <c r="B34" s="73" t="s">
        <v>131</v>
      </c>
      <c r="C34" s="106">
        <f>'MFPRSI Supplemental Info 2015'!D34</f>
        <v>3.7049719894093142E-2</v>
      </c>
      <c r="D34" s="106">
        <v>3.6971280000000002E-2</v>
      </c>
      <c r="E34" s="114">
        <f>'MFPRSI Supplemental Info 2015'!W34</f>
        <v>17406489</v>
      </c>
      <c r="F34" s="114">
        <f t="shared" si="0"/>
        <v>17369637</v>
      </c>
      <c r="G34" s="114">
        <f t="shared" si="1"/>
        <v>-36852</v>
      </c>
      <c r="H34" s="114">
        <f t="shared" si="2"/>
        <v>2782264</v>
      </c>
      <c r="I34" s="114">
        <f t="shared" si="3"/>
        <v>2782264</v>
      </c>
      <c r="J34" s="114">
        <f t="shared" si="4"/>
        <v>0</v>
      </c>
      <c r="K34" s="118">
        <f t="shared" si="5"/>
        <v>-6700</v>
      </c>
      <c r="L34" s="118">
        <f t="shared" si="6"/>
        <v>0</v>
      </c>
      <c r="M34" s="118">
        <f t="shared" si="7"/>
        <v>-30152</v>
      </c>
      <c r="O34" s="118">
        <v>596612</v>
      </c>
      <c r="P34" s="114">
        <v>976000</v>
      </c>
      <c r="Q34" s="118">
        <v>7237528</v>
      </c>
      <c r="S34" s="114">
        <v>-21438</v>
      </c>
      <c r="T34" s="118">
        <v>-316636</v>
      </c>
      <c r="U34" s="114">
        <v>-3149961</v>
      </c>
      <c r="W34" s="114">
        <v>23116697</v>
      </c>
      <c r="X34" s="114"/>
      <c r="Y34" s="114">
        <v>3163475</v>
      </c>
      <c r="AA34" s="49"/>
    </row>
    <row r="35" spans="1:27" ht="20.100000000000001" customHeight="1" x14ac:dyDescent="0.25">
      <c r="A35" s="56">
        <v>129</v>
      </c>
      <c r="B35" s="73" t="s">
        <v>132</v>
      </c>
      <c r="C35" s="106">
        <f>'MFPRSI Supplemental Info 2015'!D35</f>
        <v>8.186804432003569E-3</v>
      </c>
      <c r="D35" s="106">
        <v>8.1036000000000007E-3</v>
      </c>
      <c r="E35" s="114">
        <f>'MFPRSI Supplemental Info 2015'!W35</f>
        <v>3846281</v>
      </c>
      <c r="F35" s="114">
        <f t="shared" si="0"/>
        <v>3807187</v>
      </c>
      <c r="G35" s="114">
        <f t="shared" si="1"/>
        <v>-39094</v>
      </c>
      <c r="H35" s="114">
        <f t="shared" si="2"/>
        <v>609834</v>
      </c>
      <c r="I35" s="114">
        <f t="shared" si="3"/>
        <v>609834</v>
      </c>
      <c r="J35" s="114">
        <f t="shared" si="4"/>
        <v>0</v>
      </c>
      <c r="K35" s="118">
        <f t="shared" si="5"/>
        <v>-7108</v>
      </c>
      <c r="L35" s="118">
        <f t="shared" si="6"/>
        <v>0</v>
      </c>
      <c r="M35" s="118">
        <f t="shared" si="7"/>
        <v>-31986</v>
      </c>
      <c r="O35" s="118">
        <v>130769</v>
      </c>
      <c r="P35" s="114">
        <v>213926</v>
      </c>
      <c r="Q35" s="118">
        <v>1586367</v>
      </c>
      <c r="S35" s="114">
        <v>-4699</v>
      </c>
      <c r="T35" s="118">
        <v>-69402</v>
      </c>
      <c r="U35" s="114">
        <v>-690428</v>
      </c>
      <c r="W35" s="114">
        <v>5066865</v>
      </c>
      <c r="X35" s="114"/>
      <c r="Y35" s="114">
        <v>693391</v>
      </c>
      <c r="AA35" s="49"/>
    </row>
    <row r="36" spans="1:27" ht="20.100000000000001" customHeight="1" x14ac:dyDescent="0.25">
      <c r="A36" s="56">
        <v>130</v>
      </c>
      <c r="B36" s="77" t="s">
        <v>133</v>
      </c>
      <c r="C36" s="106">
        <f>'MFPRSI Supplemental Info 2015'!D36</f>
        <v>2.5516200258604055E-3</v>
      </c>
      <c r="D36" s="106">
        <v>2.7690200000000001E-3</v>
      </c>
      <c r="E36" s="114">
        <f>'MFPRSI Supplemental Info 2015'!W36</f>
        <v>1198788</v>
      </c>
      <c r="F36" s="114">
        <f t="shared" si="0"/>
        <v>1300925</v>
      </c>
      <c r="G36" s="114">
        <f t="shared" si="1"/>
        <v>102137</v>
      </c>
      <c r="H36" s="114">
        <f t="shared" si="2"/>
        <v>208382</v>
      </c>
      <c r="I36" s="114">
        <f t="shared" si="3"/>
        <v>208382</v>
      </c>
      <c r="J36" s="114">
        <f t="shared" si="4"/>
        <v>0</v>
      </c>
      <c r="K36" s="118">
        <f t="shared" si="5"/>
        <v>18570</v>
      </c>
      <c r="L36" s="118">
        <f t="shared" si="6"/>
        <v>83567</v>
      </c>
      <c r="M36" s="118">
        <f t="shared" si="7"/>
        <v>0</v>
      </c>
      <c r="O36" s="118">
        <v>44684</v>
      </c>
      <c r="P36" s="114">
        <v>73099</v>
      </c>
      <c r="Q36" s="118">
        <v>542066</v>
      </c>
      <c r="S36" s="114">
        <v>-1606</v>
      </c>
      <c r="T36" s="118">
        <v>-23715</v>
      </c>
      <c r="U36" s="114">
        <v>-235921</v>
      </c>
      <c r="W36" s="114">
        <v>1731360</v>
      </c>
      <c r="X36" s="114"/>
      <c r="Y36" s="114">
        <v>236933</v>
      </c>
      <c r="AA36" s="49"/>
    </row>
    <row r="37" spans="1:27" ht="20.100000000000001" customHeight="1" x14ac:dyDescent="0.25">
      <c r="A37" s="56">
        <v>131</v>
      </c>
      <c r="B37" s="78" t="s">
        <v>134</v>
      </c>
      <c r="C37" s="106">
        <f>'MFPRSI Supplemental Info 2015'!D37</f>
        <v>3.5285984918947454E-3</v>
      </c>
      <c r="D37" s="106">
        <v>3.4334999999999999E-3</v>
      </c>
      <c r="E37" s="114">
        <f>'MFPRSI Supplemental Info 2015'!W37</f>
        <v>1657787</v>
      </c>
      <c r="F37" s="114">
        <f t="shared" si="0"/>
        <v>1613107</v>
      </c>
      <c r="G37" s="114">
        <f t="shared" si="1"/>
        <v>-44680</v>
      </c>
      <c r="H37" s="114">
        <f t="shared" si="2"/>
        <v>258387</v>
      </c>
      <c r="I37" s="114">
        <f t="shared" si="3"/>
        <v>258387</v>
      </c>
      <c r="J37" s="114">
        <f t="shared" si="4"/>
        <v>0</v>
      </c>
      <c r="K37" s="118">
        <f t="shared" si="5"/>
        <v>-8124</v>
      </c>
      <c r="L37" s="118">
        <f t="shared" si="6"/>
        <v>0</v>
      </c>
      <c r="M37" s="118">
        <f t="shared" si="7"/>
        <v>-36556</v>
      </c>
      <c r="O37" s="118">
        <v>55407</v>
      </c>
      <c r="P37" s="114">
        <v>90640</v>
      </c>
      <c r="Q37" s="118">
        <v>672145</v>
      </c>
      <c r="S37" s="114">
        <v>-1991</v>
      </c>
      <c r="T37" s="118">
        <v>-29406</v>
      </c>
      <c r="U37" s="114">
        <v>-292535</v>
      </c>
      <c r="W37" s="114">
        <v>2146833</v>
      </c>
      <c r="X37" s="114"/>
      <c r="Y37" s="114">
        <v>293790</v>
      </c>
      <c r="AA37" s="49"/>
    </row>
    <row r="38" spans="1:27" ht="20.100000000000001" customHeight="1" x14ac:dyDescent="0.25">
      <c r="A38" s="56">
        <v>132</v>
      </c>
      <c r="B38" s="77" t="s">
        <v>135</v>
      </c>
      <c r="C38" s="106">
        <f>'MFPRSI Supplemental Info 2015'!D38</f>
        <v>2.1743861859084453E-3</v>
      </c>
      <c r="D38" s="106">
        <v>2.20171E-3</v>
      </c>
      <c r="E38" s="114">
        <f>'MFPRSI Supplemental Info 2015'!W38</f>
        <v>1021555</v>
      </c>
      <c r="F38" s="114">
        <f t="shared" si="0"/>
        <v>1034395</v>
      </c>
      <c r="G38" s="114">
        <f t="shared" si="1"/>
        <v>12840</v>
      </c>
      <c r="H38" s="114">
        <f t="shared" si="2"/>
        <v>165689</v>
      </c>
      <c r="I38" s="114">
        <f t="shared" si="3"/>
        <v>165689</v>
      </c>
      <c r="J38" s="114">
        <f t="shared" si="4"/>
        <v>0</v>
      </c>
      <c r="K38" s="118">
        <f t="shared" si="5"/>
        <v>2335</v>
      </c>
      <c r="L38" s="118">
        <f t="shared" si="6"/>
        <v>10505</v>
      </c>
      <c r="M38" s="118">
        <f t="shared" si="7"/>
        <v>0</v>
      </c>
      <c r="O38" s="118">
        <v>35529</v>
      </c>
      <c r="P38" s="114">
        <v>58123</v>
      </c>
      <c r="Q38" s="118">
        <v>431009</v>
      </c>
      <c r="S38" s="114">
        <v>-1277</v>
      </c>
      <c r="T38" s="118">
        <v>-18856</v>
      </c>
      <c r="U38" s="114">
        <v>-187586</v>
      </c>
      <c r="W38" s="114">
        <v>1376643</v>
      </c>
      <c r="X38" s="114"/>
      <c r="Y38" s="114">
        <v>188391</v>
      </c>
      <c r="AA38" s="49"/>
    </row>
    <row r="39" spans="1:27" ht="20.100000000000001" customHeight="1" x14ac:dyDescent="0.25">
      <c r="A39" s="56">
        <v>133</v>
      </c>
      <c r="B39" s="78" t="s">
        <v>136</v>
      </c>
      <c r="C39" s="106">
        <f>'MFPRSI Supplemental Info 2015'!D39</f>
        <v>1.8580835610573547E-2</v>
      </c>
      <c r="D39" s="106">
        <v>1.8995700000000001E-2</v>
      </c>
      <c r="E39" s="114">
        <f>'MFPRSI Supplemental Info 2015'!W39</f>
        <v>8729540</v>
      </c>
      <c r="F39" s="114">
        <f t="shared" si="0"/>
        <v>8924452</v>
      </c>
      <c r="G39" s="114">
        <f t="shared" si="1"/>
        <v>194912</v>
      </c>
      <c r="H39" s="114">
        <f t="shared" si="2"/>
        <v>1429516</v>
      </c>
      <c r="I39" s="114">
        <f t="shared" si="3"/>
        <v>1429516</v>
      </c>
      <c r="J39" s="114">
        <f t="shared" si="4"/>
        <v>0</v>
      </c>
      <c r="K39" s="118">
        <f t="shared" si="5"/>
        <v>35439</v>
      </c>
      <c r="L39" s="118">
        <f t="shared" si="6"/>
        <v>159473</v>
      </c>
      <c r="M39" s="118">
        <f t="shared" si="7"/>
        <v>0</v>
      </c>
      <c r="O39" s="118">
        <v>306537</v>
      </c>
      <c r="P39" s="114">
        <v>501465</v>
      </c>
      <c r="Q39" s="118">
        <v>3718614</v>
      </c>
      <c r="S39" s="114">
        <v>-11015</v>
      </c>
      <c r="T39" s="118">
        <v>-162686</v>
      </c>
      <c r="U39" s="114">
        <v>-1618438</v>
      </c>
      <c r="W39" s="114">
        <v>11877269</v>
      </c>
      <c r="X39" s="114"/>
      <c r="Y39" s="114">
        <v>1625381</v>
      </c>
      <c r="AA39" s="49"/>
    </row>
    <row r="40" spans="1:27" ht="20.100000000000001" customHeight="1" x14ac:dyDescent="0.25">
      <c r="A40" s="56">
        <v>134</v>
      </c>
      <c r="B40" s="77" t="s">
        <v>137</v>
      </c>
      <c r="C40" s="106">
        <f>'MFPRSI Supplemental Info 2015'!D40</f>
        <v>1.5159812212181921E-2</v>
      </c>
      <c r="D40" s="106">
        <v>1.560279E-2</v>
      </c>
      <c r="E40" s="114">
        <f>'MFPRSI Supplemental Info 2015'!W40</f>
        <v>7122296</v>
      </c>
      <c r="F40" s="114">
        <f t="shared" si="0"/>
        <v>7330414</v>
      </c>
      <c r="G40" s="114">
        <f t="shared" si="1"/>
        <v>208118</v>
      </c>
      <c r="H40" s="114">
        <f t="shared" si="2"/>
        <v>1174184</v>
      </c>
      <c r="I40" s="114">
        <f t="shared" si="3"/>
        <v>1174184</v>
      </c>
      <c r="J40" s="114">
        <f t="shared" si="4"/>
        <v>0</v>
      </c>
      <c r="K40" s="118">
        <f t="shared" si="5"/>
        <v>37840</v>
      </c>
      <c r="L40" s="118">
        <f t="shared" si="6"/>
        <v>170278</v>
      </c>
      <c r="M40" s="118">
        <f t="shared" si="7"/>
        <v>0</v>
      </c>
      <c r="O40" s="118">
        <v>251785</v>
      </c>
      <c r="P40" s="114">
        <v>411896</v>
      </c>
      <c r="Q40" s="118">
        <v>3054415</v>
      </c>
      <c r="S40" s="114">
        <v>-9048</v>
      </c>
      <c r="T40" s="118">
        <v>-133628</v>
      </c>
      <c r="U40" s="114">
        <v>-1329361</v>
      </c>
      <c r="W40" s="114">
        <v>9755815</v>
      </c>
      <c r="X40" s="114"/>
      <c r="Y40" s="114">
        <v>1335064</v>
      </c>
      <c r="AA40" s="49"/>
    </row>
    <row r="41" spans="1:27" ht="20.100000000000001" customHeight="1" x14ac:dyDescent="0.25">
      <c r="A41" s="56">
        <v>135</v>
      </c>
      <c r="B41" s="78" t="s">
        <v>138</v>
      </c>
      <c r="C41" s="106">
        <f>'MFPRSI Supplemental Info 2015'!D41</f>
        <v>2.0837454861313963E-2</v>
      </c>
      <c r="D41" s="106">
        <v>2.039407E-2</v>
      </c>
      <c r="E41" s="114">
        <f>'MFPRSI Supplemental Info 2015'!W41</f>
        <v>9789737</v>
      </c>
      <c r="F41" s="114">
        <f t="shared" si="0"/>
        <v>9581426</v>
      </c>
      <c r="G41" s="114">
        <f t="shared" si="1"/>
        <v>-208311</v>
      </c>
      <c r="H41" s="114">
        <f t="shared" si="2"/>
        <v>1534750</v>
      </c>
      <c r="I41" s="114">
        <f t="shared" si="3"/>
        <v>1534750</v>
      </c>
      <c r="J41" s="114">
        <f t="shared" si="4"/>
        <v>0</v>
      </c>
      <c r="K41" s="118">
        <f t="shared" si="5"/>
        <v>-37875</v>
      </c>
      <c r="L41" s="118">
        <f t="shared" si="6"/>
        <v>0</v>
      </c>
      <c r="M41" s="118">
        <f t="shared" si="7"/>
        <v>-170436</v>
      </c>
      <c r="O41" s="118">
        <v>329103</v>
      </c>
      <c r="P41" s="114">
        <v>538380</v>
      </c>
      <c r="Q41" s="118">
        <v>3992360</v>
      </c>
      <c r="S41" s="114">
        <v>-11826</v>
      </c>
      <c r="T41" s="118">
        <v>-174663</v>
      </c>
      <c r="U41" s="114">
        <v>-1737579</v>
      </c>
      <c r="W41" s="114">
        <v>12751615</v>
      </c>
      <c r="X41" s="114"/>
      <c r="Y41" s="114">
        <v>1745034</v>
      </c>
      <c r="AA41" s="49"/>
    </row>
    <row r="42" spans="1:27" ht="20.100000000000001" customHeight="1" x14ac:dyDescent="0.25">
      <c r="A42" s="56">
        <v>136</v>
      </c>
      <c r="B42" s="78" t="s">
        <v>139</v>
      </c>
      <c r="C42" s="106">
        <f>'MFPRSI Supplemental Info 2015'!D42</f>
        <v>1.7595894656559901E-2</v>
      </c>
      <c r="D42" s="106">
        <v>1.7214070000000001E-2</v>
      </c>
      <c r="E42" s="114">
        <f>'MFPRSI Supplemental Info 2015'!W42</f>
        <v>8266801</v>
      </c>
      <c r="F42" s="114">
        <f t="shared" si="0"/>
        <v>8087417</v>
      </c>
      <c r="G42" s="114">
        <f t="shared" si="1"/>
        <v>-179384</v>
      </c>
      <c r="H42" s="114">
        <f t="shared" si="2"/>
        <v>1295440</v>
      </c>
      <c r="I42" s="114">
        <f t="shared" si="3"/>
        <v>1295440</v>
      </c>
      <c r="J42" s="114">
        <f t="shared" si="4"/>
        <v>0</v>
      </c>
      <c r="K42" s="118">
        <f t="shared" si="5"/>
        <v>-32615</v>
      </c>
      <c r="L42" s="118">
        <f t="shared" si="6"/>
        <v>0</v>
      </c>
      <c r="M42" s="118">
        <f t="shared" si="7"/>
        <v>-146769</v>
      </c>
      <c r="O42" s="118">
        <v>277787</v>
      </c>
      <c r="P42" s="114">
        <v>454432</v>
      </c>
      <c r="Q42" s="118">
        <v>3369841</v>
      </c>
      <c r="S42" s="114">
        <v>-9982</v>
      </c>
      <c r="T42" s="118">
        <v>-147428</v>
      </c>
      <c r="U42" s="114">
        <v>-1466642</v>
      </c>
      <c r="W42" s="114">
        <v>10763285</v>
      </c>
      <c r="X42" s="114"/>
      <c r="Y42" s="114">
        <v>1472935</v>
      </c>
      <c r="AA42" s="49"/>
    </row>
    <row r="43" spans="1:27" ht="20.100000000000001" customHeight="1" x14ac:dyDescent="0.25">
      <c r="A43" s="56">
        <v>137</v>
      </c>
      <c r="B43" s="78" t="s">
        <v>140</v>
      </c>
      <c r="C43" s="106">
        <f>'MFPRSI Supplemental Info 2015'!D43</f>
        <v>1.0909436128827438E-2</v>
      </c>
      <c r="D43" s="106">
        <v>1.064467E-2</v>
      </c>
      <c r="E43" s="114">
        <f>'MFPRSI Supplemental Info 2015'!W43</f>
        <v>5125407</v>
      </c>
      <c r="F43" s="114">
        <f t="shared" si="0"/>
        <v>5001018</v>
      </c>
      <c r="G43" s="114">
        <f t="shared" si="1"/>
        <v>-124389</v>
      </c>
      <c r="H43" s="114">
        <f t="shared" si="2"/>
        <v>801062</v>
      </c>
      <c r="I43" s="114">
        <f t="shared" si="3"/>
        <v>801062</v>
      </c>
      <c r="J43" s="114">
        <f t="shared" si="4"/>
        <v>0</v>
      </c>
      <c r="K43" s="118">
        <f t="shared" si="5"/>
        <v>-22616</v>
      </c>
      <c r="L43" s="118">
        <f t="shared" si="6"/>
        <v>0</v>
      </c>
      <c r="M43" s="118">
        <f t="shared" si="7"/>
        <v>-101773</v>
      </c>
      <c r="O43" s="118">
        <v>171775</v>
      </c>
      <c r="P43" s="114">
        <v>281007</v>
      </c>
      <c r="Q43" s="118">
        <v>2083809</v>
      </c>
      <c r="S43" s="114">
        <v>-6172</v>
      </c>
      <c r="T43" s="118">
        <v>-91165</v>
      </c>
      <c r="U43" s="114">
        <v>-906928</v>
      </c>
      <c r="W43" s="114">
        <v>6655696</v>
      </c>
      <c r="X43" s="114"/>
      <c r="Y43" s="114">
        <v>910819</v>
      </c>
      <c r="AA43" s="49"/>
    </row>
    <row r="44" spans="1:27" ht="20.100000000000001" customHeight="1" x14ac:dyDescent="0.25">
      <c r="A44" s="56">
        <v>138</v>
      </c>
      <c r="B44" s="78" t="s">
        <v>141</v>
      </c>
      <c r="C44" s="106">
        <f>'MFPRSI Supplemental Info 2015'!D44</f>
        <v>2.3002812714395474E-3</v>
      </c>
      <c r="D44" s="106">
        <v>2.2114299999999999E-3</v>
      </c>
      <c r="E44" s="114">
        <f>'MFPRSI Supplemental Info 2015'!W44</f>
        <v>1080705</v>
      </c>
      <c r="F44" s="114">
        <f t="shared" si="0"/>
        <v>1038962</v>
      </c>
      <c r="G44" s="114">
        <f t="shared" si="1"/>
        <v>-41743</v>
      </c>
      <c r="H44" s="114">
        <f t="shared" si="2"/>
        <v>166421</v>
      </c>
      <c r="I44" s="114">
        <f t="shared" si="3"/>
        <v>166421</v>
      </c>
      <c r="J44" s="114">
        <f t="shared" si="4"/>
        <v>0</v>
      </c>
      <c r="K44" s="118">
        <f t="shared" si="5"/>
        <v>-7590</v>
      </c>
      <c r="L44" s="118">
        <f t="shared" si="6"/>
        <v>0</v>
      </c>
      <c r="M44" s="118">
        <f t="shared" si="7"/>
        <v>-34153</v>
      </c>
      <c r="O44" s="118">
        <v>35686</v>
      </c>
      <c r="P44" s="114">
        <v>58379</v>
      </c>
      <c r="Q44" s="118">
        <v>432911</v>
      </c>
      <c r="S44" s="114">
        <v>-1282</v>
      </c>
      <c r="T44" s="118">
        <v>-18940</v>
      </c>
      <c r="U44" s="114">
        <v>-188414</v>
      </c>
      <c r="W44" s="114">
        <v>1382721</v>
      </c>
      <c r="X44" s="114"/>
      <c r="Y44" s="114">
        <v>189223</v>
      </c>
      <c r="AA44" s="49"/>
    </row>
    <row r="45" spans="1:27" ht="20.100000000000001" customHeight="1" x14ac:dyDescent="0.25">
      <c r="A45" s="56">
        <v>139</v>
      </c>
      <c r="B45" s="77" t="s">
        <v>142</v>
      </c>
      <c r="C45" s="106">
        <f>'MFPRSI Supplemental Info 2015'!D45</f>
        <v>4.907776646017741E-3</v>
      </c>
      <c r="D45" s="106">
        <v>4.8058399999999996E-3</v>
      </c>
      <c r="E45" s="114">
        <f>'MFPRSI Supplemental Info 2015'!W45</f>
        <v>2305745</v>
      </c>
      <c r="F45" s="114">
        <f t="shared" si="0"/>
        <v>2257852</v>
      </c>
      <c r="G45" s="114">
        <f t="shared" si="1"/>
        <v>-47893</v>
      </c>
      <c r="H45" s="114">
        <f t="shared" si="2"/>
        <v>361662</v>
      </c>
      <c r="I45" s="114">
        <f t="shared" si="3"/>
        <v>361662</v>
      </c>
      <c r="J45" s="114">
        <f t="shared" si="4"/>
        <v>0</v>
      </c>
      <c r="K45" s="118">
        <f t="shared" si="5"/>
        <v>-8708</v>
      </c>
      <c r="L45" s="118">
        <f t="shared" si="6"/>
        <v>0</v>
      </c>
      <c r="M45" s="118">
        <f t="shared" si="7"/>
        <v>-39185</v>
      </c>
      <c r="O45" s="118">
        <v>77553</v>
      </c>
      <c r="P45" s="114">
        <v>126869</v>
      </c>
      <c r="Q45" s="118">
        <v>940795</v>
      </c>
      <c r="S45" s="114">
        <v>-2787</v>
      </c>
      <c r="T45" s="118">
        <v>-41159</v>
      </c>
      <c r="U45" s="114">
        <v>-409459</v>
      </c>
      <c r="W45" s="114">
        <v>3004904</v>
      </c>
      <c r="X45" s="114"/>
      <c r="Y45" s="114">
        <v>411215</v>
      </c>
      <c r="AA45" s="49"/>
    </row>
    <row r="46" spans="1:27" ht="20.100000000000001" customHeight="1" x14ac:dyDescent="0.25">
      <c r="A46" s="56">
        <v>140</v>
      </c>
      <c r="B46" s="78" t="s">
        <v>143</v>
      </c>
      <c r="C46" s="106">
        <f>'MFPRSI Supplemental Info 2015'!D46</f>
        <v>1.459245673011616E-2</v>
      </c>
      <c r="D46" s="106">
        <v>1.432455E-2</v>
      </c>
      <c r="E46" s="114">
        <f>'MFPRSI Supplemental Info 2015'!W46</f>
        <v>6855747</v>
      </c>
      <c r="F46" s="114">
        <f t="shared" si="0"/>
        <v>6729879</v>
      </c>
      <c r="G46" s="114">
        <f t="shared" si="1"/>
        <v>-125868</v>
      </c>
      <c r="H46" s="114">
        <f t="shared" si="2"/>
        <v>1077990</v>
      </c>
      <c r="I46" s="114">
        <f t="shared" si="3"/>
        <v>1077990</v>
      </c>
      <c r="J46" s="114">
        <f t="shared" si="4"/>
        <v>0</v>
      </c>
      <c r="K46" s="118">
        <f t="shared" si="5"/>
        <v>-22885</v>
      </c>
      <c r="L46" s="118">
        <f t="shared" si="6"/>
        <v>0</v>
      </c>
      <c r="M46" s="118">
        <f t="shared" si="7"/>
        <v>-102983</v>
      </c>
      <c r="O46" s="118">
        <v>231158</v>
      </c>
      <c r="P46" s="114">
        <v>378152</v>
      </c>
      <c r="Q46" s="118">
        <v>2804186</v>
      </c>
      <c r="S46" s="114">
        <v>-8306</v>
      </c>
      <c r="T46" s="118">
        <v>-122681</v>
      </c>
      <c r="U46" s="114">
        <v>-1220455</v>
      </c>
      <c r="W46" s="114">
        <v>8956582</v>
      </c>
      <c r="X46" s="114"/>
      <c r="Y46" s="114">
        <v>1225691</v>
      </c>
      <c r="AA46" s="49"/>
    </row>
    <row r="47" spans="1:27" ht="20.100000000000001" customHeight="1" x14ac:dyDescent="0.25">
      <c r="A47" s="56">
        <v>141</v>
      </c>
      <c r="B47" s="79" t="s">
        <v>144</v>
      </c>
      <c r="C47" s="106">
        <f>'MFPRSI Supplemental Info 2015'!D47</f>
        <v>3.2883821419426211E-3</v>
      </c>
      <c r="D47" s="106">
        <v>3.34439E-3</v>
      </c>
      <c r="E47" s="114">
        <f>'MFPRSI Supplemental Info 2015'!W47</f>
        <v>1544928</v>
      </c>
      <c r="F47" s="114">
        <f t="shared" si="0"/>
        <v>1571242</v>
      </c>
      <c r="G47" s="114">
        <f t="shared" si="1"/>
        <v>26314</v>
      </c>
      <c r="H47" s="114">
        <f t="shared" si="2"/>
        <v>251681</v>
      </c>
      <c r="I47" s="114">
        <f t="shared" si="3"/>
        <v>251681</v>
      </c>
      <c r="J47" s="114">
        <f t="shared" si="4"/>
        <v>0</v>
      </c>
      <c r="K47" s="118">
        <f t="shared" si="5"/>
        <v>4784</v>
      </c>
      <c r="L47" s="118">
        <f t="shared" si="6"/>
        <v>21530</v>
      </c>
      <c r="M47" s="118">
        <f t="shared" si="7"/>
        <v>0</v>
      </c>
      <c r="O47" s="118">
        <v>53969</v>
      </c>
      <c r="P47" s="114">
        <v>88288</v>
      </c>
      <c r="Q47" s="118">
        <v>654701</v>
      </c>
      <c r="S47" s="114">
        <v>-1939</v>
      </c>
      <c r="T47" s="118">
        <v>-28643</v>
      </c>
      <c r="U47" s="114">
        <v>-284943</v>
      </c>
      <c r="W47" s="114">
        <v>2091116</v>
      </c>
      <c r="X47" s="114"/>
      <c r="Y47" s="114">
        <v>286165</v>
      </c>
      <c r="AA47" s="49"/>
    </row>
    <row r="48" spans="1:27" ht="20.100000000000001" customHeight="1" x14ac:dyDescent="0.25">
      <c r="A48" s="56">
        <v>142</v>
      </c>
      <c r="B48" s="73" t="s">
        <v>145</v>
      </c>
      <c r="C48" s="106">
        <f>'MFPRSI Supplemental Info 2015'!D48</f>
        <v>6.3433605634121065E-2</v>
      </c>
      <c r="D48" s="106">
        <v>6.2975229999999993E-2</v>
      </c>
      <c r="E48" s="114">
        <f>'MFPRSI Supplemental Info 2015'!W48</f>
        <v>29802019</v>
      </c>
      <c r="F48" s="114">
        <f t="shared" si="0"/>
        <v>29586665</v>
      </c>
      <c r="G48" s="114">
        <f t="shared" si="1"/>
        <v>-215354</v>
      </c>
      <c r="H48" s="114">
        <f t="shared" si="2"/>
        <v>4739184</v>
      </c>
      <c r="I48" s="114">
        <f t="shared" si="3"/>
        <v>4739184</v>
      </c>
      <c r="J48" s="114">
        <f t="shared" si="4"/>
        <v>0</v>
      </c>
      <c r="K48" s="118">
        <f t="shared" si="5"/>
        <v>-39155</v>
      </c>
      <c r="L48" s="118">
        <f t="shared" si="6"/>
        <v>0</v>
      </c>
      <c r="M48" s="118">
        <f t="shared" si="7"/>
        <v>-176199</v>
      </c>
      <c r="O48" s="118">
        <v>1016243</v>
      </c>
      <c r="P48" s="114">
        <v>1662474</v>
      </c>
      <c r="Q48" s="118">
        <v>12328083</v>
      </c>
      <c r="S48" s="114">
        <v>-36517</v>
      </c>
      <c r="T48" s="118">
        <v>-539344</v>
      </c>
      <c r="U48" s="114">
        <v>-5365503</v>
      </c>
      <c r="W48" s="114">
        <v>39375951</v>
      </c>
      <c r="X48" s="114"/>
      <c r="Y48" s="114">
        <v>5388523</v>
      </c>
      <c r="AA48" s="49"/>
    </row>
    <row r="49" spans="1:27" ht="20.100000000000001" customHeight="1" x14ac:dyDescent="0.25">
      <c r="A49" s="56">
        <v>143</v>
      </c>
      <c r="B49" s="73" t="s">
        <v>146</v>
      </c>
      <c r="C49" s="106">
        <f>'MFPRSI Supplemental Info 2015'!D49</f>
        <v>4.9503226644646561E-3</v>
      </c>
      <c r="D49" s="106">
        <v>5.0313800000000002E-3</v>
      </c>
      <c r="E49" s="114">
        <f>'MFPRSI Supplemental Info 2015'!W49</f>
        <v>2325731</v>
      </c>
      <c r="F49" s="114">
        <f t="shared" si="0"/>
        <v>2363814</v>
      </c>
      <c r="G49" s="114">
        <f t="shared" si="1"/>
        <v>38083</v>
      </c>
      <c r="H49" s="114">
        <f t="shared" si="2"/>
        <v>378635</v>
      </c>
      <c r="I49" s="114">
        <f t="shared" si="3"/>
        <v>378635</v>
      </c>
      <c r="J49" s="114">
        <f t="shared" si="4"/>
        <v>0</v>
      </c>
      <c r="K49" s="118">
        <f t="shared" si="5"/>
        <v>6924</v>
      </c>
      <c r="L49" s="118">
        <f t="shared" si="6"/>
        <v>31159</v>
      </c>
      <c r="M49" s="118">
        <f t="shared" si="7"/>
        <v>0</v>
      </c>
      <c r="O49" s="118">
        <v>81192</v>
      </c>
      <c r="P49" s="114">
        <v>132823</v>
      </c>
      <c r="Q49" s="118">
        <v>984947</v>
      </c>
      <c r="S49" s="114">
        <v>-2918</v>
      </c>
      <c r="T49" s="118">
        <v>-43091</v>
      </c>
      <c r="U49" s="114">
        <v>-428675</v>
      </c>
      <c r="W49" s="114">
        <v>3145925</v>
      </c>
      <c r="X49" s="114"/>
      <c r="Y49" s="114">
        <v>430514</v>
      </c>
      <c r="AA49" s="49"/>
    </row>
    <row r="50" spans="1:27" ht="20.100000000000001" customHeight="1" x14ac:dyDescent="0.25">
      <c r="A50" s="56">
        <v>144</v>
      </c>
      <c r="B50" s="73" t="s">
        <v>147</v>
      </c>
      <c r="C50" s="106">
        <f>'MFPRSI Supplemental Info 2015'!D50</f>
        <v>3.7970409212821792E-3</v>
      </c>
      <c r="D50" s="106">
        <v>3.3881200000000001E-3</v>
      </c>
      <c r="E50" s="114">
        <f>'MFPRSI Supplemental Info 2015'!W50</f>
        <v>1783904</v>
      </c>
      <c r="F50" s="114">
        <f t="shared" si="0"/>
        <v>1591787</v>
      </c>
      <c r="G50" s="114">
        <f t="shared" si="1"/>
        <v>-192117</v>
      </c>
      <c r="H50" s="114">
        <f t="shared" si="2"/>
        <v>254972</v>
      </c>
      <c r="I50" s="114">
        <f t="shared" si="3"/>
        <v>254972</v>
      </c>
      <c r="J50" s="114">
        <f t="shared" si="4"/>
        <v>0</v>
      </c>
      <c r="K50" s="118">
        <f t="shared" si="5"/>
        <v>-34930</v>
      </c>
      <c r="L50" s="118">
        <f t="shared" si="6"/>
        <v>0</v>
      </c>
      <c r="M50" s="118">
        <f t="shared" si="7"/>
        <v>-157187</v>
      </c>
      <c r="O50" s="118">
        <v>54675</v>
      </c>
      <c r="P50" s="114">
        <v>89443</v>
      </c>
      <c r="Q50" s="118">
        <v>663261</v>
      </c>
      <c r="S50" s="114">
        <v>-1965</v>
      </c>
      <c r="T50" s="118">
        <v>-29017</v>
      </c>
      <c r="U50" s="114">
        <v>-288669</v>
      </c>
      <c r="W50" s="114">
        <v>2118459</v>
      </c>
      <c r="X50" s="114"/>
      <c r="Y50" s="114">
        <v>289907</v>
      </c>
      <c r="AA50" s="49"/>
    </row>
    <row r="51" spans="1:27" ht="20.100000000000001" customHeight="1" x14ac:dyDescent="0.25">
      <c r="A51" s="56">
        <v>145</v>
      </c>
      <c r="B51" s="73" t="s">
        <v>148</v>
      </c>
      <c r="C51" s="106">
        <f>'MFPRSI Supplemental Info 2015'!D51</f>
        <v>1.8926532982386991E-2</v>
      </c>
      <c r="D51" s="106">
        <v>1.9366149999999999E-2</v>
      </c>
      <c r="E51" s="114">
        <f>'MFPRSI Supplemental Info 2015'!W51</f>
        <v>8891955</v>
      </c>
      <c r="F51" s="114">
        <f t="shared" si="0"/>
        <v>9098495</v>
      </c>
      <c r="G51" s="114">
        <f t="shared" si="1"/>
        <v>206540</v>
      </c>
      <c r="H51" s="114">
        <f t="shared" si="2"/>
        <v>1457394</v>
      </c>
      <c r="I51" s="114">
        <f t="shared" si="3"/>
        <v>1457394</v>
      </c>
      <c r="J51" s="114">
        <f t="shared" si="4"/>
        <v>0</v>
      </c>
      <c r="K51" s="118">
        <f t="shared" si="5"/>
        <v>37553</v>
      </c>
      <c r="L51" s="118">
        <f t="shared" si="6"/>
        <v>168987</v>
      </c>
      <c r="M51" s="118">
        <f t="shared" si="7"/>
        <v>0</v>
      </c>
      <c r="O51" s="118">
        <v>312515</v>
      </c>
      <c r="P51" s="114">
        <v>511244</v>
      </c>
      <c r="Q51" s="118">
        <v>3791134</v>
      </c>
      <c r="S51" s="114">
        <v>-11230</v>
      </c>
      <c r="T51" s="118">
        <v>-165859</v>
      </c>
      <c r="U51" s="114">
        <v>-1650000</v>
      </c>
      <c r="W51" s="114">
        <v>12108897</v>
      </c>
      <c r="X51" s="114"/>
      <c r="Y51" s="114">
        <v>1657079</v>
      </c>
      <c r="AA51" s="49"/>
    </row>
    <row r="52" spans="1:27" ht="20.100000000000001" customHeight="1" x14ac:dyDescent="0.25">
      <c r="A52" s="56">
        <v>146</v>
      </c>
      <c r="B52" s="73" t="s">
        <v>149</v>
      </c>
      <c r="C52" s="106">
        <f>'MFPRSI Supplemental Info 2015'!D52</f>
        <v>5.7245348066870302E-2</v>
      </c>
      <c r="D52" s="106">
        <v>5.6883620000000003E-2</v>
      </c>
      <c r="E52" s="114">
        <f>'MFPRSI Supplemental Info 2015'!W52</f>
        <v>26894686</v>
      </c>
      <c r="F52" s="114">
        <f t="shared" si="0"/>
        <v>26724740</v>
      </c>
      <c r="G52" s="114">
        <f t="shared" si="1"/>
        <v>-169946</v>
      </c>
      <c r="H52" s="114">
        <f t="shared" si="2"/>
        <v>4280761</v>
      </c>
      <c r="I52" s="114">
        <f t="shared" si="3"/>
        <v>4280761</v>
      </c>
      <c r="J52" s="114">
        <f t="shared" si="4"/>
        <v>0</v>
      </c>
      <c r="K52" s="118">
        <f t="shared" si="5"/>
        <v>-30899</v>
      </c>
      <c r="L52" s="118">
        <f t="shared" si="6"/>
        <v>0</v>
      </c>
      <c r="M52" s="118">
        <f t="shared" si="7"/>
        <v>-139047</v>
      </c>
      <c r="O52" s="118">
        <v>917941</v>
      </c>
      <c r="P52" s="114">
        <v>1501663</v>
      </c>
      <c r="Q52" s="118">
        <v>11135584</v>
      </c>
      <c r="S52" s="114">
        <v>-32985</v>
      </c>
      <c r="T52" s="118">
        <v>-487173</v>
      </c>
      <c r="U52" s="114">
        <v>-4846496</v>
      </c>
      <c r="W52" s="114">
        <v>35567105</v>
      </c>
      <c r="X52" s="114"/>
      <c r="Y52" s="114">
        <v>4867290</v>
      </c>
      <c r="AA52" s="49"/>
    </row>
    <row r="53" spans="1:27" ht="20.100000000000001" customHeight="1" x14ac:dyDescent="0.25">
      <c r="A53" s="56">
        <v>147</v>
      </c>
      <c r="B53" s="73" t="s">
        <v>150</v>
      </c>
      <c r="C53" s="106">
        <f>'MFPRSI Supplemental Info 2015'!D53</f>
        <v>3.6046872746639414E-3</v>
      </c>
      <c r="D53" s="106">
        <v>3.6576400000000002E-3</v>
      </c>
      <c r="E53" s="114">
        <f>'MFPRSI Supplemental Info 2015'!W53</f>
        <v>1693535</v>
      </c>
      <c r="F53" s="114">
        <f t="shared" si="0"/>
        <v>1718412</v>
      </c>
      <c r="G53" s="114">
        <f t="shared" si="1"/>
        <v>24877</v>
      </c>
      <c r="H53" s="114">
        <f t="shared" si="2"/>
        <v>275255</v>
      </c>
      <c r="I53" s="114">
        <f t="shared" si="3"/>
        <v>275255</v>
      </c>
      <c r="J53" s="114">
        <f t="shared" si="4"/>
        <v>0</v>
      </c>
      <c r="K53" s="118">
        <f t="shared" si="5"/>
        <v>4523</v>
      </c>
      <c r="L53" s="118">
        <f t="shared" si="6"/>
        <v>20354</v>
      </c>
      <c r="M53" s="118">
        <f t="shared" si="7"/>
        <v>0</v>
      </c>
      <c r="O53" s="118">
        <v>59024</v>
      </c>
      <c r="P53" s="114">
        <v>96558</v>
      </c>
      <c r="Q53" s="118">
        <v>716023</v>
      </c>
      <c r="S53" s="114">
        <v>-2121</v>
      </c>
      <c r="T53" s="118">
        <v>-31325</v>
      </c>
      <c r="U53" s="114">
        <v>-311632</v>
      </c>
      <c r="W53" s="114">
        <v>2286979</v>
      </c>
      <c r="X53" s="114"/>
      <c r="Y53" s="114">
        <v>312969</v>
      </c>
      <c r="AA53" s="49"/>
    </row>
    <row r="54" spans="1:27" ht="20.100000000000001" customHeight="1" x14ac:dyDescent="0.25">
      <c r="A54" s="56">
        <v>148</v>
      </c>
      <c r="B54" s="73" t="s">
        <v>151</v>
      </c>
      <c r="C54" s="106">
        <f>'MFPRSI Supplemental Info 2015'!D54</f>
        <v>2.8125764626121754E-3</v>
      </c>
      <c r="D54" s="106">
        <v>3.1196700000000002E-3</v>
      </c>
      <c r="E54" s="114">
        <f>'MFPRSI Supplemental Info 2015'!W54</f>
        <v>1321390</v>
      </c>
      <c r="F54" s="114">
        <f t="shared" si="0"/>
        <v>1465666</v>
      </c>
      <c r="G54" s="114">
        <f t="shared" si="1"/>
        <v>144276</v>
      </c>
      <c r="H54" s="114">
        <f t="shared" si="2"/>
        <v>234770</v>
      </c>
      <c r="I54" s="114">
        <f t="shared" si="3"/>
        <v>234770</v>
      </c>
      <c r="J54" s="114">
        <f t="shared" si="4"/>
        <v>0</v>
      </c>
      <c r="K54" s="118">
        <f t="shared" si="5"/>
        <v>26232</v>
      </c>
      <c r="L54" s="118">
        <f t="shared" si="6"/>
        <v>118044</v>
      </c>
      <c r="M54" s="118">
        <f t="shared" si="7"/>
        <v>0</v>
      </c>
      <c r="O54" s="118">
        <v>50343</v>
      </c>
      <c r="P54" s="114">
        <v>82356</v>
      </c>
      <c r="Q54" s="118">
        <v>610709</v>
      </c>
      <c r="S54" s="114">
        <v>-1809</v>
      </c>
      <c r="T54" s="118">
        <v>-26718</v>
      </c>
      <c r="U54" s="114">
        <v>-265797</v>
      </c>
      <c r="W54" s="114">
        <v>1950608</v>
      </c>
      <c r="X54" s="114"/>
      <c r="Y54" s="114">
        <v>266937</v>
      </c>
      <c r="AA54" s="49"/>
    </row>
    <row r="55" spans="1:27" ht="19.5" customHeight="1" x14ac:dyDescent="0.25">
      <c r="A55" s="56">
        <v>149</v>
      </c>
      <c r="B55" s="73" t="s">
        <v>152</v>
      </c>
      <c r="C55" s="106">
        <f>'MFPRSI Supplemental Info 2015'!D55</f>
        <v>3.1567440335854985E-2</v>
      </c>
      <c r="D55" s="106">
        <v>3.1945040000000001E-2</v>
      </c>
      <c r="E55" s="114">
        <f>'MFPRSI Supplemental Info 2015'!W55</f>
        <v>14830836</v>
      </c>
      <c r="F55" s="114">
        <f t="shared" si="0"/>
        <v>15008238</v>
      </c>
      <c r="G55" s="114">
        <f t="shared" si="1"/>
        <v>177402</v>
      </c>
      <c r="H55" s="114">
        <f t="shared" si="2"/>
        <v>2404015</v>
      </c>
      <c r="I55" s="114">
        <f t="shared" si="3"/>
        <v>2404015</v>
      </c>
      <c r="J55" s="114">
        <f t="shared" si="4"/>
        <v>0</v>
      </c>
      <c r="K55" s="118">
        <f t="shared" si="5"/>
        <v>32255</v>
      </c>
      <c r="L55" s="118">
        <f t="shared" si="6"/>
        <v>145147</v>
      </c>
      <c r="M55" s="118">
        <f t="shared" si="7"/>
        <v>0</v>
      </c>
      <c r="O55" s="118">
        <v>515503</v>
      </c>
      <c r="P55" s="114">
        <v>843313</v>
      </c>
      <c r="Q55" s="118">
        <v>6253587</v>
      </c>
      <c r="S55" s="114">
        <v>-18524</v>
      </c>
      <c r="T55" s="118">
        <v>-273589</v>
      </c>
      <c r="U55" s="114">
        <v>-2721724</v>
      </c>
      <c r="W55" s="114">
        <v>19973986</v>
      </c>
      <c r="X55" s="114"/>
      <c r="Y55" s="114">
        <v>2733401</v>
      </c>
      <c r="AA55" s="49"/>
    </row>
    <row r="56" spans="1:27" x14ac:dyDescent="0.25">
      <c r="E56" s="115"/>
      <c r="U56" s="114"/>
      <c r="W56" s="118"/>
      <c r="X56" s="118"/>
      <c r="Y56" s="114"/>
    </row>
    <row r="57" spans="1:27" x14ac:dyDescent="0.25">
      <c r="C57" s="110">
        <f t="shared" ref="C57:I57" si="8">SUM(C7:C56)</f>
        <v>0.99999999999999967</v>
      </c>
      <c r="D57" s="110">
        <f t="shared" si="8"/>
        <v>0.99999999000000006</v>
      </c>
      <c r="E57" s="114">
        <f>SUM(E7:E56)+E61</f>
        <v>469814329</v>
      </c>
      <c r="F57" s="114">
        <f>SUM(F7:F56)+F61</f>
        <v>469814329</v>
      </c>
      <c r="G57" s="114">
        <f>SUM(G7:G56)+G61</f>
        <v>0</v>
      </c>
      <c r="H57" s="114">
        <f>SUM(H7:H56)+H61</f>
        <v>75254727</v>
      </c>
      <c r="I57" s="115">
        <f t="shared" si="8"/>
        <v>75254728</v>
      </c>
      <c r="J57" s="111">
        <f>SUM(J7:J56)</f>
        <v>0</v>
      </c>
      <c r="K57" s="111"/>
      <c r="L57" s="114">
        <f t="shared" ref="L57" si="9">SUM(L7:L56)</f>
        <v>1961208</v>
      </c>
      <c r="M57" s="114">
        <f>SUM(M7:M56)</f>
        <v>-1961216</v>
      </c>
      <c r="O57" s="114">
        <f>SUM(O7:O56)</f>
        <v>16137185</v>
      </c>
      <c r="P57" s="114">
        <f>SUM(P7:P56)</f>
        <v>26398859</v>
      </c>
      <c r="Q57" s="114">
        <f>SUM(Q7:Q56)</f>
        <v>195760827</v>
      </c>
      <c r="S57" s="114">
        <f>SUM(S7:S56)</f>
        <v>-579866</v>
      </c>
      <c r="T57" s="114">
        <f>SUM(T7:T56)</f>
        <v>-8564379</v>
      </c>
      <c r="U57" s="114">
        <f>SUM(U7:U56)+U61</f>
        <v>-85200210</v>
      </c>
      <c r="V57" s="114"/>
      <c r="W57" s="114">
        <f>SUM(W7:W56)+W61</f>
        <v>625260934</v>
      </c>
      <c r="X57" s="114"/>
      <c r="Y57" s="114">
        <f>SUM(Y7:Y56)+Y61</f>
        <v>85565751</v>
      </c>
    </row>
    <row r="58" spans="1:27" x14ac:dyDescent="0.25">
      <c r="C58" s="110"/>
      <c r="D58" s="110"/>
      <c r="E58" s="114"/>
      <c r="F58" s="114"/>
      <c r="H58" s="115"/>
      <c r="K58" s="111"/>
      <c r="L58" s="114"/>
      <c r="M58" s="114"/>
      <c r="O58" s="114"/>
      <c r="P58" s="114"/>
      <c r="Q58" s="114"/>
      <c r="S58" s="114"/>
      <c r="T58" s="114"/>
      <c r="U58" s="114"/>
      <c r="V58" s="114"/>
      <c r="W58" s="114"/>
      <c r="X58" s="114"/>
      <c r="Y58" s="114"/>
    </row>
    <row r="59" spans="1:27" x14ac:dyDescent="0.25">
      <c r="E59" s="114"/>
      <c r="F59" s="114"/>
      <c r="K59" s="111"/>
      <c r="L59" s="114"/>
      <c r="M59" s="114"/>
      <c r="O59" s="83" t="s">
        <v>60</v>
      </c>
      <c r="P59" s="116"/>
      <c r="Q59" s="110"/>
      <c r="R59" s="110"/>
      <c r="S59" s="115"/>
      <c r="T59" s="115"/>
      <c r="U59" s="111">
        <v>5.5</v>
      </c>
      <c r="V59" s="122" t="s">
        <v>61</v>
      </c>
      <c r="W59" s="114"/>
      <c r="X59" s="114"/>
      <c r="Y59" s="114"/>
    </row>
    <row r="60" spans="1:27" x14ac:dyDescent="0.25">
      <c r="E60" s="116"/>
      <c r="F60" s="116"/>
      <c r="O60" s="83" t="s">
        <v>196</v>
      </c>
      <c r="U60" s="125">
        <v>75254727</v>
      </c>
    </row>
    <row r="61" spans="1:27" x14ac:dyDescent="0.25">
      <c r="B61" s="60" t="s">
        <v>153</v>
      </c>
      <c r="E61" s="116">
        <v>0</v>
      </c>
      <c r="F61" s="116">
        <v>7</v>
      </c>
      <c r="G61" s="111">
        <v>7</v>
      </c>
      <c r="H61" s="111">
        <v>-1</v>
      </c>
      <c r="K61" s="116">
        <v>-1</v>
      </c>
      <c r="U61" s="114"/>
      <c r="W61" s="116">
        <v>0</v>
      </c>
      <c r="Y61" s="116">
        <v>0</v>
      </c>
    </row>
  </sheetData>
  <sheetProtection algorithmName="SHA-512" hashValue="zwvFkdzVrHjrbt98ro2tSXriCnZi8054ZYd7FlQn8wV3K3+R82FfjP6sk7fnO7KOVRXs8M3FVWWG4EzF0hlkJw==" saltValue="DfH86PC+0lIDGv2j2/fCjg==" spinCount="100000" sheet="1" objects="1" scenarios="1"/>
  <mergeCells count="3">
    <mergeCell ref="K3:M3"/>
    <mergeCell ref="O3:Q3"/>
    <mergeCell ref="S3:U3"/>
  </mergeCells>
  <pageMargins left="0.5" right="0.25" top="1" bottom="0.5" header="0.3" footer="0.3"/>
  <pageSetup orientation="landscape" r:id="rId1"/>
  <headerFooter>
    <oddHeader>&amp;L&amp;"-,Bold"&amp;14MUNICIPAL FIRE AND POLICE RETIREMENT SYSTEM OF IOWA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Normal="100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Q57" sqref="Q57"/>
    </sheetView>
  </sheetViews>
  <sheetFormatPr defaultRowHeight="15" x14ac:dyDescent="0.25"/>
  <cols>
    <col min="1" max="1" width="3.5703125" style="56" bestFit="1" customWidth="1"/>
    <col min="2" max="2" width="15" style="60" bestFit="1" customWidth="1"/>
    <col min="3" max="3" width="10.7109375" style="58" bestFit="1" customWidth="1"/>
    <col min="4" max="4" width="10.7109375" style="59" bestFit="1" customWidth="1"/>
    <col min="5" max="5" width="11.140625" style="59" bestFit="1" customWidth="1"/>
    <col min="6" max="6" width="10.7109375" style="59" bestFit="1" customWidth="1"/>
    <col min="7" max="7" width="9.7109375" style="59" bestFit="1" customWidth="1"/>
    <col min="8" max="9" width="9.85546875" style="59" bestFit="1" customWidth="1"/>
    <col min="10" max="10" width="11.140625" style="59" customWidth="1"/>
    <col min="11" max="11" width="8.7109375" style="60" bestFit="1" customWidth="1"/>
    <col min="12" max="12" width="9.28515625" style="60" bestFit="1" customWidth="1"/>
    <col min="13" max="13" width="9.7109375" style="60" bestFit="1" customWidth="1"/>
    <col min="14" max="14" width="0.85546875" style="60" customWidth="1"/>
    <col min="15" max="15" width="10.7109375" style="60" bestFit="1" customWidth="1"/>
    <col min="16" max="16" width="12.42578125" style="61" bestFit="1" customWidth="1"/>
    <col min="17" max="17" width="10.140625" style="60" customWidth="1"/>
    <col min="18" max="18" width="2.7109375" style="60" customWidth="1"/>
    <col min="19" max="19" width="10.7109375" style="60" bestFit="1" customWidth="1"/>
    <col min="20" max="20" width="11.7109375" style="60" customWidth="1"/>
    <col min="21" max="21" width="12.7109375" style="60" bestFit="1" customWidth="1"/>
    <col min="22" max="22" width="2.7109375" style="60" customWidth="1"/>
    <col min="23" max="23" width="12.7109375" style="60" bestFit="1" customWidth="1"/>
    <col min="24" max="24" width="2.7109375" style="60" customWidth="1"/>
    <col min="25" max="25" width="11.140625" style="60" bestFit="1" customWidth="1"/>
    <col min="27" max="27" width="11.28515625" bestFit="1" customWidth="1"/>
  </cols>
  <sheetData>
    <row r="1" spans="1:27" x14ac:dyDescent="0.25">
      <c r="C1" s="57" t="s">
        <v>157</v>
      </c>
      <c r="O1" s="57" t="s">
        <v>158</v>
      </c>
    </row>
    <row r="3" spans="1:27" x14ac:dyDescent="0.25">
      <c r="H3" s="62" t="s">
        <v>78</v>
      </c>
      <c r="K3" s="160" t="s">
        <v>79</v>
      </c>
      <c r="L3" s="160"/>
      <c r="M3" s="160"/>
      <c r="O3" s="161" t="s">
        <v>27</v>
      </c>
      <c r="P3" s="161"/>
      <c r="Q3" s="161"/>
      <c r="S3" s="161" t="s">
        <v>30</v>
      </c>
      <c r="T3" s="161"/>
      <c r="U3" s="161"/>
    </row>
    <row r="4" spans="1:27" x14ac:dyDescent="0.25">
      <c r="C4" s="64">
        <v>41820</v>
      </c>
      <c r="D4" s="64">
        <v>42185</v>
      </c>
      <c r="E4" s="64">
        <v>41820</v>
      </c>
      <c r="G4" s="62" t="s">
        <v>80</v>
      </c>
      <c r="H4" s="62" t="s">
        <v>49</v>
      </c>
      <c r="I4" s="62" t="s">
        <v>49</v>
      </c>
      <c r="J4" s="62" t="s">
        <v>81</v>
      </c>
      <c r="O4" s="62" t="s">
        <v>82</v>
      </c>
      <c r="Q4" s="62" t="s">
        <v>83</v>
      </c>
      <c r="R4" s="62"/>
      <c r="S4" s="62" t="s">
        <v>82</v>
      </c>
      <c r="U4" s="62" t="s">
        <v>83</v>
      </c>
      <c r="V4" s="62"/>
      <c r="W4" s="62" t="s">
        <v>159</v>
      </c>
      <c r="X4" s="62"/>
      <c r="Y4" s="56" t="s">
        <v>84</v>
      </c>
    </row>
    <row r="5" spans="1:27" x14ac:dyDescent="0.25">
      <c r="A5" s="56" t="s">
        <v>154</v>
      </c>
      <c r="C5" s="65" t="s">
        <v>85</v>
      </c>
      <c r="D5" s="65" t="s">
        <v>85</v>
      </c>
      <c r="E5" s="62" t="s">
        <v>86</v>
      </c>
      <c r="F5" s="62" t="s">
        <v>87</v>
      </c>
      <c r="G5" s="62" t="s">
        <v>85</v>
      </c>
      <c r="H5" s="62" t="s">
        <v>88</v>
      </c>
      <c r="I5" s="62" t="s">
        <v>88</v>
      </c>
      <c r="J5" s="62" t="s">
        <v>89</v>
      </c>
      <c r="K5" s="62" t="s">
        <v>90</v>
      </c>
      <c r="L5" s="56" t="s">
        <v>91</v>
      </c>
      <c r="M5" s="56" t="s">
        <v>91</v>
      </c>
      <c r="O5" s="56" t="s">
        <v>92</v>
      </c>
      <c r="P5" s="66" t="s">
        <v>160</v>
      </c>
      <c r="Q5" s="56" t="s">
        <v>92</v>
      </c>
      <c r="R5" s="56"/>
      <c r="S5" s="56" t="s">
        <v>92</v>
      </c>
      <c r="T5" s="62" t="s">
        <v>160</v>
      </c>
      <c r="U5" s="56" t="s">
        <v>92</v>
      </c>
      <c r="V5" s="56"/>
      <c r="W5" s="62" t="s">
        <v>87</v>
      </c>
      <c r="X5" s="62"/>
      <c r="Y5" s="56" t="s">
        <v>90</v>
      </c>
    </row>
    <row r="6" spans="1:27" ht="20.100000000000001" customHeight="1" x14ac:dyDescent="0.35">
      <c r="A6" s="63" t="s">
        <v>155</v>
      </c>
      <c r="B6" s="67" t="s">
        <v>93</v>
      </c>
      <c r="C6" s="68" t="s">
        <v>94</v>
      </c>
      <c r="D6" s="68" t="s">
        <v>94</v>
      </c>
      <c r="E6" s="69" t="s">
        <v>95</v>
      </c>
      <c r="F6" s="70">
        <v>41820</v>
      </c>
      <c r="G6" s="69" t="s">
        <v>96</v>
      </c>
      <c r="H6" s="69" t="s">
        <v>97</v>
      </c>
      <c r="I6" s="69" t="s">
        <v>97</v>
      </c>
      <c r="J6" s="69" t="s">
        <v>98</v>
      </c>
      <c r="K6" s="69" t="s">
        <v>56</v>
      </c>
      <c r="L6" s="69" t="s">
        <v>99</v>
      </c>
      <c r="M6" s="71" t="s">
        <v>100</v>
      </c>
      <c r="O6" s="71" t="s">
        <v>101</v>
      </c>
      <c r="P6" s="72" t="s">
        <v>102</v>
      </c>
      <c r="Q6" s="71" t="s">
        <v>103</v>
      </c>
      <c r="R6" s="71"/>
      <c r="S6" s="71" t="s">
        <v>101</v>
      </c>
      <c r="T6" s="71" t="s">
        <v>102</v>
      </c>
      <c r="U6" s="71" t="s">
        <v>103</v>
      </c>
      <c r="V6" s="71"/>
      <c r="W6" s="70">
        <v>42185</v>
      </c>
      <c r="X6" s="70"/>
      <c r="Y6" s="71" t="s">
        <v>56</v>
      </c>
    </row>
    <row r="7" spans="1:27" ht="20.100000000000001" customHeight="1" x14ac:dyDescent="0.25">
      <c r="A7" s="56">
        <v>101</v>
      </c>
      <c r="B7" s="73" t="s">
        <v>104</v>
      </c>
      <c r="C7" s="58">
        <f>'MFPRSI Supplemental Info 2014'!D7</f>
        <v>2.6844061590719944E-2</v>
      </c>
      <c r="D7" s="58">
        <v>2.6967266512861493E-2</v>
      </c>
      <c r="E7" s="75">
        <f>'MFPRSI Supplemental Info 2014'!W7</f>
        <v>9730925</v>
      </c>
      <c r="F7" s="75">
        <f>ROUND($E$57*D7,0)</f>
        <v>9775587</v>
      </c>
      <c r="G7" s="75">
        <f t="shared" ref="G7:G55" si="0">F7-E7</f>
        <v>44662</v>
      </c>
      <c r="H7" s="75">
        <f>ROUND(D7*79748943,0)</f>
        <v>2150611</v>
      </c>
      <c r="I7" s="75">
        <f>H7</f>
        <v>2150611</v>
      </c>
      <c r="J7" s="75">
        <f>H7-I7</f>
        <v>0</v>
      </c>
      <c r="K7" s="61">
        <f>ROUND((G7+J7)/5.6,0)</f>
        <v>7975</v>
      </c>
      <c r="L7" s="76">
        <f>IF(K7&lt;0,0,G7+J7-K7)</f>
        <v>36687</v>
      </c>
      <c r="M7" s="61">
        <f>IF(G7&lt;0,(G7+J7-K7),0)</f>
        <v>0</v>
      </c>
      <c r="O7" s="61">
        <v>340561.27590557531</v>
      </c>
      <c r="P7" s="75">
        <v>953286.53392202326</v>
      </c>
      <c r="Q7" s="61">
        <v>2142322.4218664062</v>
      </c>
      <c r="S7" s="75">
        <v>-21651.775577777877</v>
      </c>
      <c r="T7" s="61">
        <v>0</v>
      </c>
      <c r="U7" s="75">
        <v>-3446426</v>
      </c>
      <c r="W7" s="75">
        <v>12669610</v>
      </c>
      <c r="X7" s="75"/>
      <c r="Y7" s="75">
        <v>1176153.2202221914</v>
      </c>
      <c r="AA7" s="49"/>
    </row>
    <row r="8" spans="1:27" ht="20.100000000000001" customHeight="1" x14ac:dyDescent="0.25">
      <c r="A8" s="56">
        <v>102</v>
      </c>
      <c r="B8" s="73" t="s">
        <v>105</v>
      </c>
      <c r="C8" s="58">
        <f>'MFPRSI Supplemental Info 2014'!D8</f>
        <v>1.6611833750079456E-2</v>
      </c>
      <c r="D8" s="58">
        <v>1.786951583797167E-2</v>
      </c>
      <c r="E8" s="75">
        <f>'MFPRSI Supplemental Info 2014'!W8</f>
        <v>6021760</v>
      </c>
      <c r="F8" s="75">
        <f t="shared" ref="F8:F55" si="1">ROUND($E$57*D8,0)</f>
        <v>6477668</v>
      </c>
      <c r="G8" s="75">
        <f t="shared" si="0"/>
        <v>455908</v>
      </c>
      <c r="H8" s="75">
        <f t="shared" ref="H8:H55" si="2">ROUND(D8*79748943,0)</f>
        <v>1425075</v>
      </c>
      <c r="I8" s="75">
        <f t="shared" ref="I8:I55" si="3">H8</f>
        <v>1425075</v>
      </c>
      <c r="J8" s="75">
        <f t="shared" ref="J8:J55" si="4">H8-I8</f>
        <v>0</v>
      </c>
      <c r="K8" s="61">
        <f t="shared" ref="K8:K23" si="5">ROUND((G8+J8)/5.6,0)</f>
        <v>81412</v>
      </c>
      <c r="L8" s="61">
        <f t="shared" ref="L8:L55" si="6">IF(K8&lt;0,0,G8+J8-K8)</f>
        <v>374496</v>
      </c>
      <c r="M8" s="61">
        <f t="shared" ref="M8:M55" si="7">IF(G8&lt;0,(G8+J8-K8),0)</f>
        <v>0</v>
      </c>
      <c r="O8" s="61">
        <v>225668.59383735029</v>
      </c>
      <c r="P8" s="75">
        <v>631683.18553607666</v>
      </c>
      <c r="Q8" s="61">
        <v>1419582.6792205884</v>
      </c>
      <c r="S8" s="75">
        <v>-14347.273440664912</v>
      </c>
      <c r="T8" s="61">
        <v>0</v>
      </c>
      <c r="U8" s="75">
        <v>-2283730</v>
      </c>
      <c r="W8" s="75">
        <v>8395357</v>
      </c>
      <c r="X8" s="75"/>
      <c r="Y8" s="75">
        <v>779362.95792597521</v>
      </c>
      <c r="AA8" s="49"/>
    </row>
    <row r="9" spans="1:27" ht="20.100000000000001" customHeight="1" x14ac:dyDescent="0.25">
      <c r="A9" s="56">
        <v>103</v>
      </c>
      <c r="B9" s="73" t="s">
        <v>106</v>
      </c>
      <c r="C9" s="58">
        <f>'MFPRSI Supplemental Info 2014'!D9</f>
        <v>1.874664098100411E-2</v>
      </c>
      <c r="D9" s="58">
        <v>1.8702291765798074E-2</v>
      </c>
      <c r="E9" s="75">
        <f>'MFPRSI Supplemental Info 2014'!W9</f>
        <v>6795625</v>
      </c>
      <c r="F9" s="75">
        <f t="shared" si="1"/>
        <v>6779548</v>
      </c>
      <c r="G9" s="75">
        <f t="shared" si="0"/>
        <v>-16077</v>
      </c>
      <c r="H9" s="75">
        <f t="shared" si="2"/>
        <v>1491488</v>
      </c>
      <c r="I9" s="75">
        <f t="shared" si="3"/>
        <v>1491488</v>
      </c>
      <c r="J9" s="75">
        <f t="shared" si="4"/>
        <v>0</v>
      </c>
      <c r="K9" s="61">
        <f t="shared" si="5"/>
        <v>-2871</v>
      </c>
      <c r="L9" s="61">
        <f t="shared" si="6"/>
        <v>0</v>
      </c>
      <c r="M9" s="61">
        <f t="shared" si="7"/>
        <v>-13206</v>
      </c>
      <c r="O9" s="61">
        <v>236185.46370210825</v>
      </c>
      <c r="P9" s="75">
        <v>661121.61888239696</v>
      </c>
      <c r="Q9" s="61">
        <v>1485739.7197097396</v>
      </c>
      <c r="S9" s="75">
        <v>-15015.901738133382</v>
      </c>
      <c r="T9" s="61">
        <v>0</v>
      </c>
      <c r="U9" s="75">
        <v>-2390159</v>
      </c>
      <c r="W9" s="75">
        <v>8786604</v>
      </c>
      <c r="X9" s="75"/>
      <c r="Y9" s="75">
        <v>815683.73551644431</v>
      </c>
      <c r="AA9" s="49"/>
    </row>
    <row r="10" spans="1:27" ht="20.100000000000001" customHeight="1" x14ac:dyDescent="0.25">
      <c r="A10" s="56">
        <v>104</v>
      </c>
      <c r="B10" s="73" t="s">
        <v>107</v>
      </c>
      <c r="C10" s="58">
        <f>'MFPRSI Supplemental Info 2014'!D10</f>
        <v>5.8176918757784522E-3</v>
      </c>
      <c r="D10" s="58">
        <v>5.9148746335108164E-3</v>
      </c>
      <c r="E10" s="75">
        <f>'MFPRSI Supplemental Info 2014'!W10</f>
        <v>2108903</v>
      </c>
      <c r="F10" s="75">
        <f t="shared" si="1"/>
        <v>2144132</v>
      </c>
      <c r="G10" s="75">
        <f t="shared" si="0"/>
        <v>35229</v>
      </c>
      <c r="H10" s="75">
        <f t="shared" si="2"/>
        <v>471705</v>
      </c>
      <c r="I10" s="75">
        <f t="shared" si="3"/>
        <v>471705</v>
      </c>
      <c r="J10" s="75">
        <f t="shared" si="4"/>
        <v>0</v>
      </c>
      <c r="K10" s="61">
        <f t="shared" si="5"/>
        <v>6291</v>
      </c>
      <c r="L10" s="61">
        <f t="shared" si="6"/>
        <v>28938</v>
      </c>
      <c r="M10" s="61">
        <f t="shared" si="7"/>
        <v>0</v>
      </c>
      <c r="O10" s="61">
        <v>74697.124050346349</v>
      </c>
      <c r="P10" s="75">
        <v>209089.42829906847</v>
      </c>
      <c r="Q10" s="61">
        <v>469887.02187726798</v>
      </c>
      <c r="S10" s="75">
        <v>-4748.9996093741329</v>
      </c>
      <c r="T10" s="61">
        <v>0</v>
      </c>
      <c r="U10" s="75">
        <v>-755922</v>
      </c>
      <c r="W10" s="75">
        <v>2778891</v>
      </c>
      <c r="X10" s="75"/>
      <c r="Y10" s="75">
        <v>257971.96924265189</v>
      </c>
      <c r="AA10" s="49"/>
    </row>
    <row r="11" spans="1:27" ht="20.100000000000001" customHeight="1" x14ac:dyDescent="0.25">
      <c r="A11" s="56">
        <v>105</v>
      </c>
      <c r="B11" s="73" t="s">
        <v>108</v>
      </c>
      <c r="C11" s="58">
        <f>'MFPRSI Supplemental Info 2014'!D11</f>
        <v>1.8017704648857651E-2</v>
      </c>
      <c r="D11" s="58">
        <v>1.7988489201668793E-2</v>
      </c>
      <c r="E11" s="75">
        <f>'MFPRSI Supplemental Info 2014'!W11</f>
        <v>6531386</v>
      </c>
      <c r="F11" s="75">
        <f t="shared" si="1"/>
        <v>6520796</v>
      </c>
      <c r="G11" s="75">
        <f t="shared" si="0"/>
        <v>-10590</v>
      </c>
      <c r="H11" s="75">
        <f t="shared" si="2"/>
        <v>1434563</v>
      </c>
      <c r="I11" s="75">
        <f t="shared" si="3"/>
        <v>1434563</v>
      </c>
      <c r="J11" s="75">
        <f t="shared" si="4"/>
        <v>0</v>
      </c>
      <c r="K11" s="61">
        <f t="shared" si="5"/>
        <v>-1891</v>
      </c>
      <c r="L11" s="61">
        <f t="shared" si="6"/>
        <v>0</v>
      </c>
      <c r="M11" s="61">
        <f t="shared" si="7"/>
        <v>-8699</v>
      </c>
      <c r="O11" s="61">
        <v>227171.07168471187</v>
      </c>
      <c r="P11" s="75">
        <v>635888.86598402949</v>
      </c>
      <c r="Q11" s="61">
        <v>1429034.1119244427</v>
      </c>
      <c r="S11" s="75">
        <v>-14442.796083617059</v>
      </c>
      <c r="T11" s="61">
        <v>0</v>
      </c>
      <c r="U11" s="75">
        <v>-2298935</v>
      </c>
      <c r="W11" s="75">
        <v>8451250</v>
      </c>
      <c r="X11" s="75"/>
      <c r="Y11" s="75">
        <v>784551.8748214381</v>
      </c>
      <c r="AA11" s="49"/>
    </row>
    <row r="12" spans="1:27" ht="20.100000000000001" customHeight="1" x14ac:dyDescent="0.25">
      <c r="A12" s="56">
        <v>106</v>
      </c>
      <c r="B12" s="73" t="s">
        <v>109</v>
      </c>
      <c r="C12" s="58">
        <f>'MFPRSI Supplemental Info 2014'!D12</f>
        <v>2.5757743319130173E-3</v>
      </c>
      <c r="D12" s="58">
        <v>2.6191444317951651E-3</v>
      </c>
      <c r="E12" s="75">
        <f>'MFPRSI Supplemental Info 2014'!W12</f>
        <v>933714</v>
      </c>
      <c r="F12" s="75">
        <f t="shared" si="1"/>
        <v>949435</v>
      </c>
      <c r="G12" s="75">
        <f t="shared" si="0"/>
        <v>15721</v>
      </c>
      <c r="H12" s="75">
        <f t="shared" si="2"/>
        <v>208874</v>
      </c>
      <c r="I12" s="75">
        <f t="shared" si="3"/>
        <v>208874</v>
      </c>
      <c r="J12" s="75">
        <f t="shared" si="4"/>
        <v>0</v>
      </c>
      <c r="K12" s="61">
        <f t="shared" si="5"/>
        <v>2807</v>
      </c>
      <c r="L12" s="61">
        <f t="shared" si="6"/>
        <v>12914</v>
      </c>
      <c r="M12" s="61">
        <f t="shared" si="7"/>
        <v>0</v>
      </c>
      <c r="O12" s="61">
        <v>33076.365713511717</v>
      </c>
      <c r="P12" s="75">
        <v>92586.140165017612</v>
      </c>
      <c r="Q12" s="61">
        <v>208068.98762487673</v>
      </c>
      <c r="S12" s="75">
        <v>-2102.887491988452</v>
      </c>
      <c r="T12" s="61">
        <v>0</v>
      </c>
      <c r="U12" s="75">
        <v>-334727</v>
      </c>
      <c r="W12" s="75">
        <v>1230510</v>
      </c>
      <c r="X12" s="75"/>
      <c r="Y12" s="75">
        <v>114231.64287762409</v>
      </c>
      <c r="AA12" s="49"/>
    </row>
    <row r="13" spans="1:27" ht="20.100000000000001" customHeight="1" x14ac:dyDescent="0.25">
      <c r="A13" s="56">
        <v>107</v>
      </c>
      <c r="B13" s="73" t="s">
        <v>110</v>
      </c>
      <c r="C13" s="58">
        <f>'MFPRSI Supplemental Info 2014'!D13</f>
        <v>2.7818787362549609E-3</v>
      </c>
      <c r="D13" s="58">
        <v>2.8797372273636278E-3</v>
      </c>
      <c r="E13" s="75">
        <f>'MFPRSI Supplemental Info 2014'!W13</f>
        <v>1008426</v>
      </c>
      <c r="F13" s="75">
        <f t="shared" si="1"/>
        <v>1043900</v>
      </c>
      <c r="G13" s="75">
        <f t="shared" si="0"/>
        <v>35474</v>
      </c>
      <c r="H13" s="75">
        <f t="shared" si="2"/>
        <v>229656</v>
      </c>
      <c r="I13" s="75">
        <f t="shared" si="3"/>
        <v>229656</v>
      </c>
      <c r="J13" s="75">
        <f t="shared" si="4"/>
        <v>0</v>
      </c>
      <c r="K13" s="61">
        <f t="shared" si="5"/>
        <v>6335</v>
      </c>
      <c r="L13" s="61">
        <f t="shared" si="6"/>
        <v>29139</v>
      </c>
      <c r="M13" s="61">
        <f t="shared" si="7"/>
        <v>0</v>
      </c>
      <c r="O13" s="61">
        <v>36367.311605572002</v>
      </c>
      <c r="P13" s="75">
        <v>101798.03424905581</v>
      </c>
      <c r="Q13" s="61">
        <v>228770.8926050092</v>
      </c>
      <c r="S13" s="75">
        <v>-2312.1151022152103</v>
      </c>
      <c r="T13" s="61">
        <v>0</v>
      </c>
      <c r="U13" s="75">
        <v>-368032</v>
      </c>
      <c r="W13" s="75">
        <v>1352943</v>
      </c>
      <c r="X13" s="75"/>
      <c r="Y13" s="75">
        <v>125597.16468638336</v>
      </c>
      <c r="AA13" s="49"/>
    </row>
    <row r="14" spans="1:27" ht="20.100000000000001" customHeight="1" x14ac:dyDescent="0.25">
      <c r="A14" s="56">
        <v>108</v>
      </c>
      <c r="B14" s="73" t="s">
        <v>111</v>
      </c>
      <c r="C14" s="58">
        <f>'MFPRSI Supplemental Info 2014'!D14</f>
        <v>1.7827707848698297E-2</v>
      </c>
      <c r="D14" s="58">
        <v>1.7270774359981172E-2</v>
      </c>
      <c r="E14" s="75">
        <f>'MFPRSI Supplemental Info 2014'!W14</f>
        <v>6462513</v>
      </c>
      <c r="F14" s="75">
        <f t="shared" si="1"/>
        <v>6260626</v>
      </c>
      <c r="G14" s="75">
        <f t="shared" si="0"/>
        <v>-201887</v>
      </c>
      <c r="H14" s="75">
        <f t="shared" si="2"/>
        <v>1377326</v>
      </c>
      <c r="I14" s="75">
        <f t="shared" si="3"/>
        <v>1377326</v>
      </c>
      <c r="J14" s="75">
        <f t="shared" si="4"/>
        <v>0</v>
      </c>
      <c r="K14" s="61">
        <f t="shared" si="5"/>
        <v>-36051</v>
      </c>
      <c r="L14" s="61">
        <f t="shared" si="6"/>
        <v>0</v>
      </c>
      <c r="M14" s="61">
        <f t="shared" si="7"/>
        <v>-165836</v>
      </c>
      <c r="O14" s="61">
        <v>218107.272722925</v>
      </c>
      <c r="P14" s="75">
        <v>610517.81499335985</v>
      </c>
      <c r="Q14" s="61">
        <v>1372017.7066050393</v>
      </c>
      <c r="S14" s="75">
        <v>-13866.549296659643</v>
      </c>
      <c r="T14" s="61">
        <v>0</v>
      </c>
      <c r="U14" s="75">
        <v>-2207210</v>
      </c>
      <c r="W14" s="75">
        <v>8114055</v>
      </c>
      <c r="X14" s="75"/>
      <c r="Y14" s="75">
        <v>753249.38363830105</v>
      </c>
      <c r="AA14" s="49"/>
    </row>
    <row r="15" spans="1:27" ht="20.100000000000001" customHeight="1" x14ac:dyDescent="0.25">
      <c r="A15" s="56">
        <v>109</v>
      </c>
      <c r="B15" s="73" t="s">
        <v>112</v>
      </c>
      <c r="C15" s="58">
        <f>'MFPRSI Supplemental Info 2014'!D15</f>
        <v>9.3012964115779778E-2</v>
      </c>
      <c r="D15" s="58">
        <v>9.3574418911107071E-2</v>
      </c>
      <c r="E15" s="75">
        <f>'MFPRSI Supplemental Info 2014'!W15</f>
        <v>33717037</v>
      </c>
      <c r="F15" s="75">
        <f t="shared" si="1"/>
        <v>33920563</v>
      </c>
      <c r="G15" s="75">
        <f t="shared" si="0"/>
        <v>203526</v>
      </c>
      <c r="H15" s="75">
        <f t="shared" si="2"/>
        <v>7462461</v>
      </c>
      <c r="I15" s="75">
        <f t="shared" si="3"/>
        <v>7462461</v>
      </c>
      <c r="J15" s="75">
        <f t="shared" si="4"/>
        <v>0</v>
      </c>
      <c r="K15" s="61">
        <f t="shared" si="5"/>
        <v>36344</v>
      </c>
      <c r="L15" s="61">
        <f t="shared" si="6"/>
        <v>167182</v>
      </c>
      <c r="M15" s="61">
        <f t="shared" si="7"/>
        <v>0</v>
      </c>
      <c r="O15" s="61">
        <v>1181722.4219329276</v>
      </c>
      <c r="P15" s="75">
        <v>3307833.7185191908</v>
      </c>
      <c r="Q15" s="61">
        <v>7433700.2473267391</v>
      </c>
      <c r="S15" s="75">
        <v>-75130.058773957673</v>
      </c>
      <c r="T15" s="61">
        <v>0</v>
      </c>
      <c r="U15" s="75">
        <v>-11958840</v>
      </c>
      <c r="W15" s="75">
        <v>43962603</v>
      </c>
      <c r="X15" s="75"/>
      <c r="Y15" s="75">
        <v>4081164.6252774284</v>
      </c>
      <c r="AA15" s="49"/>
    </row>
    <row r="16" spans="1:27" ht="20.100000000000001" customHeight="1" x14ac:dyDescent="0.25">
      <c r="A16" s="56">
        <v>110</v>
      </c>
      <c r="B16" s="73" t="s">
        <v>113</v>
      </c>
      <c r="C16" s="58">
        <f>'MFPRSI Supplemental Info 2014'!D16</f>
        <v>2.4090498878135062E-3</v>
      </c>
      <c r="D16" s="58">
        <v>2.2354904440551643E-3</v>
      </c>
      <c r="E16" s="75">
        <f>'MFPRSI Supplemental Info 2014'!W16</f>
        <v>873276</v>
      </c>
      <c r="F16" s="75">
        <f t="shared" si="1"/>
        <v>810361</v>
      </c>
      <c r="G16" s="75">
        <f t="shared" si="0"/>
        <v>-62915</v>
      </c>
      <c r="H16" s="75">
        <f t="shared" si="2"/>
        <v>178278</v>
      </c>
      <c r="I16" s="75">
        <f t="shared" si="3"/>
        <v>178278</v>
      </c>
      <c r="J16" s="75">
        <f t="shared" si="4"/>
        <v>0</v>
      </c>
      <c r="K16" s="61">
        <f t="shared" si="5"/>
        <v>-11235</v>
      </c>
      <c r="L16" s="61">
        <f t="shared" si="6"/>
        <v>0</v>
      </c>
      <c r="M16" s="61">
        <f t="shared" si="7"/>
        <v>-51680</v>
      </c>
      <c r="O16" s="61">
        <v>28231.318051425456</v>
      </c>
      <c r="P16" s="75">
        <v>79024.061857095701</v>
      </c>
      <c r="Q16" s="61">
        <v>177590.90636358652</v>
      </c>
      <c r="S16" s="75">
        <v>-1794.8551581178949</v>
      </c>
      <c r="T16" s="61">
        <v>0</v>
      </c>
      <c r="U16" s="75">
        <v>-285696</v>
      </c>
      <c r="W16" s="75">
        <v>1050265</v>
      </c>
      <c r="X16" s="75"/>
      <c r="Y16" s="75">
        <v>97498.917189009007</v>
      </c>
      <c r="AA16" s="49"/>
    </row>
    <row r="17" spans="1:27" ht="20.100000000000001" customHeight="1" x14ac:dyDescent="0.25">
      <c r="A17" s="56">
        <v>111</v>
      </c>
      <c r="B17" s="73" t="s">
        <v>114</v>
      </c>
      <c r="C17" s="58">
        <f>'MFPRSI Supplemental Info 2014'!D17</f>
        <v>2.9419456835232051E-3</v>
      </c>
      <c r="D17" s="58">
        <v>3.2524067434975281E-3</v>
      </c>
      <c r="E17" s="75">
        <f>'MFPRSI Supplemental Info 2014'!W17</f>
        <v>1066450</v>
      </c>
      <c r="F17" s="75">
        <f t="shared" si="1"/>
        <v>1178992</v>
      </c>
      <c r="G17" s="75">
        <f t="shared" si="0"/>
        <v>112542</v>
      </c>
      <c r="H17" s="75">
        <f t="shared" si="2"/>
        <v>259376</v>
      </c>
      <c r="I17" s="75">
        <f t="shared" si="3"/>
        <v>259376</v>
      </c>
      <c r="J17" s="75">
        <f t="shared" si="4"/>
        <v>0</v>
      </c>
      <c r="K17" s="61">
        <f t="shared" si="5"/>
        <v>20097</v>
      </c>
      <c r="L17" s="61">
        <f t="shared" si="6"/>
        <v>92445</v>
      </c>
      <c r="M17" s="61">
        <f t="shared" si="7"/>
        <v>0</v>
      </c>
      <c r="O17" s="61">
        <v>41073.639769946538</v>
      </c>
      <c r="P17" s="75">
        <v>114971.8140670529</v>
      </c>
      <c r="Q17" s="61">
        <v>258376.35002053881</v>
      </c>
      <c r="S17" s="75">
        <v>-2611.3281026934737</v>
      </c>
      <c r="T17" s="61">
        <v>0</v>
      </c>
      <c r="U17" s="75">
        <v>-415659</v>
      </c>
      <c r="W17" s="75">
        <v>1528029</v>
      </c>
      <c r="X17" s="75"/>
      <c r="Y17" s="75">
        <v>141850.81246601601</v>
      </c>
      <c r="AA17" s="49"/>
    </row>
    <row r="18" spans="1:27" ht="20.100000000000001" customHeight="1" x14ac:dyDescent="0.25">
      <c r="A18" s="56">
        <v>112</v>
      </c>
      <c r="B18" s="73" t="s">
        <v>115</v>
      </c>
      <c r="C18" s="58">
        <f>'MFPRSI Supplemental Info 2014'!D18</f>
        <v>1.9699636018870977E-2</v>
      </c>
      <c r="D18" s="58">
        <v>1.9325748304902298E-2</v>
      </c>
      <c r="E18" s="75">
        <f>'MFPRSI Supplemental Info 2014'!W18</f>
        <v>7141084</v>
      </c>
      <c r="F18" s="75">
        <f t="shared" si="1"/>
        <v>7005550</v>
      </c>
      <c r="G18" s="75">
        <f t="shared" si="0"/>
        <v>-135534</v>
      </c>
      <c r="H18" s="75">
        <f t="shared" si="2"/>
        <v>1541208</v>
      </c>
      <c r="I18" s="75">
        <f t="shared" si="3"/>
        <v>1541208</v>
      </c>
      <c r="J18" s="75">
        <f t="shared" si="4"/>
        <v>0</v>
      </c>
      <c r="K18" s="61">
        <f t="shared" si="5"/>
        <v>-24203</v>
      </c>
      <c r="L18" s="61">
        <f t="shared" si="6"/>
        <v>0</v>
      </c>
      <c r="M18" s="61">
        <f t="shared" si="7"/>
        <v>-111331</v>
      </c>
      <c r="O18" s="61">
        <v>244058.9036863849</v>
      </c>
      <c r="P18" s="75">
        <v>683160.66102744464</v>
      </c>
      <c r="Q18" s="61">
        <v>1535268.09597825</v>
      </c>
      <c r="S18" s="75">
        <v>-15516.469382271311</v>
      </c>
      <c r="T18" s="61">
        <v>0</v>
      </c>
      <c r="U18" s="75">
        <v>-2469837</v>
      </c>
      <c r="W18" s="75">
        <v>9079514</v>
      </c>
      <c r="X18" s="75"/>
      <c r="Y18" s="75">
        <v>842875.23509932915</v>
      </c>
      <c r="AA18" s="49"/>
    </row>
    <row r="19" spans="1:27" ht="20.100000000000001" customHeight="1" x14ac:dyDescent="0.25">
      <c r="A19" s="56">
        <v>113</v>
      </c>
      <c r="B19" s="73" t="s">
        <v>116</v>
      </c>
      <c r="C19" s="58">
        <f>'MFPRSI Supplemental Info 2014'!D19</f>
        <v>6.0032407171004293E-3</v>
      </c>
      <c r="D19" s="58">
        <v>5.9059842335465185E-3</v>
      </c>
      <c r="E19" s="75">
        <f>'MFPRSI Supplemental Info 2014'!W19</f>
        <v>2176164</v>
      </c>
      <c r="F19" s="75">
        <f t="shared" si="1"/>
        <v>2140909</v>
      </c>
      <c r="G19" s="75">
        <f t="shared" si="0"/>
        <v>-35255</v>
      </c>
      <c r="H19" s="75">
        <f t="shared" si="2"/>
        <v>470996</v>
      </c>
      <c r="I19" s="75">
        <f t="shared" si="3"/>
        <v>470996</v>
      </c>
      <c r="J19" s="75">
        <f t="shared" si="4"/>
        <v>0</v>
      </c>
      <c r="K19" s="61">
        <f t="shared" si="5"/>
        <v>-6296</v>
      </c>
      <c r="L19" s="61">
        <f t="shared" si="6"/>
        <v>0</v>
      </c>
      <c r="M19" s="61">
        <f t="shared" si="7"/>
        <v>-28959</v>
      </c>
      <c r="O19" s="61">
        <v>74584.849936330822</v>
      </c>
      <c r="P19" s="75">
        <v>208775.15474957455</v>
      </c>
      <c r="Q19" s="61">
        <v>469180.75440392981</v>
      </c>
      <c r="S19" s="75">
        <v>-4741.8615872563978</v>
      </c>
      <c r="T19" s="61">
        <v>0</v>
      </c>
      <c r="U19" s="75">
        <v>-754787</v>
      </c>
      <c r="W19" s="75">
        <v>2774719</v>
      </c>
      <c r="X19" s="75"/>
      <c r="Y19" s="75">
        <v>257584.2223962266</v>
      </c>
      <c r="AA19" s="49"/>
    </row>
    <row r="20" spans="1:27" ht="20.100000000000001" customHeight="1" x14ac:dyDescent="0.25">
      <c r="A20" s="56">
        <v>114</v>
      </c>
      <c r="B20" s="73" t="s">
        <v>117</v>
      </c>
      <c r="C20" s="58">
        <f>'MFPRSI Supplemental Info 2014'!D20</f>
        <v>5.8249479696675419E-2</v>
      </c>
      <c r="D20" s="58">
        <v>5.8799312236652468E-2</v>
      </c>
      <c r="E20" s="75">
        <f>'MFPRSI Supplemental Info 2014'!W20</f>
        <v>21115335</v>
      </c>
      <c r="F20" s="75">
        <f t="shared" si="1"/>
        <v>21314648</v>
      </c>
      <c r="G20" s="75">
        <f t="shared" si="0"/>
        <v>199313</v>
      </c>
      <c r="H20" s="75">
        <f t="shared" si="2"/>
        <v>4689183</v>
      </c>
      <c r="I20" s="75">
        <f t="shared" si="3"/>
        <v>4689183</v>
      </c>
      <c r="J20" s="75">
        <f t="shared" si="4"/>
        <v>0</v>
      </c>
      <c r="K20" s="61">
        <f t="shared" si="5"/>
        <v>35592</v>
      </c>
      <c r="L20" s="61">
        <f t="shared" si="6"/>
        <v>163721</v>
      </c>
      <c r="M20" s="61">
        <f t="shared" si="7"/>
        <v>0</v>
      </c>
      <c r="O20" s="61">
        <v>742558.34524920292</v>
      </c>
      <c r="P20" s="75">
        <v>2078541.8697272891</v>
      </c>
      <c r="Q20" s="61">
        <v>4671110.6197888795</v>
      </c>
      <c r="S20" s="75">
        <v>-47209.438600998139</v>
      </c>
      <c r="T20" s="61">
        <v>0</v>
      </c>
      <c r="U20" s="75">
        <v>-7514570</v>
      </c>
      <c r="W20" s="75">
        <v>27624758</v>
      </c>
      <c r="X20" s="75"/>
      <c r="Y20" s="75">
        <v>2564479.436616458</v>
      </c>
      <c r="AA20" s="49"/>
    </row>
    <row r="21" spans="1:27" ht="20.100000000000001" customHeight="1" x14ac:dyDescent="0.25">
      <c r="A21" s="56">
        <v>115</v>
      </c>
      <c r="B21" s="73" t="s">
        <v>118</v>
      </c>
      <c r="C21" s="58">
        <f>'MFPRSI Supplemental Info 2014'!D21</f>
        <v>2.8823874424836185E-3</v>
      </c>
      <c r="D21" s="58">
        <v>2.9174681349695129E-3</v>
      </c>
      <c r="E21" s="75">
        <f>'MFPRSI Supplemental Info 2014'!W21</f>
        <v>1044861</v>
      </c>
      <c r="F21" s="75">
        <f t="shared" si="1"/>
        <v>1057577</v>
      </c>
      <c r="G21" s="75">
        <f t="shared" si="0"/>
        <v>12716</v>
      </c>
      <c r="H21" s="75">
        <f t="shared" si="2"/>
        <v>232665</v>
      </c>
      <c r="I21" s="75">
        <f t="shared" si="3"/>
        <v>232665</v>
      </c>
      <c r="J21" s="75">
        <f t="shared" si="4"/>
        <v>0</v>
      </c>
      <c r="K21" s="61">
        <f t="shared" si="5"/>
        <v>2271</v>
      </c>
      <c r="L21" s="61">
        <f t="shared" si="6"/>
        <v>10445</v>
      </c>
      <c r="M21" s="61">
        <f t="shared" si="7"/>
        <v>0</v>
      </c>
      <c r="O21" s="61">
        <v>36843.803578876272</v>
      </c>
      <c r="P21" s="75">
        <v>103131.81296616056</v>
      </c>
      <c r="Q21" s="61">
        <v>231768.29574644016</v>
      </c>
      <c r="S21" s="75">
        <v>-2342.408908353807</v>
      </c>
      <c r="T21" s="61">
        <v>0</v>
      </c>
      <c r="U21" s="75">
        <v>-372854</v>
      </c>
      <c r="W21" s="75">
        <v>1370669</v>
      </c>
      <c r="X21" s="75"/>
      <c r="Y21" s="75">
        <v>127242.76449018264</v>
      </c>
      <c r="AA21" s="49"/>
    </row>
    <row r="22" spans="1:27" ht="20.100000000000001" customHeight="1" x14ac:dyDescent="0.25">
      <c r="A22" s="56">
        <v>116</v>
      </c>
      <c r="B22" s="73" t="s">
        <v>119</v>
      </c>
      <c r="C22" s="58">
        <f>'MFPRSI Supplemental Info 2014'!D22</f>
        <v>8.2312779956384044E-2</v>
      </c>
      <c r="D22" s="58">
        <v>8.0960533859364137E-2</v>
      </c>
      <c r="E22" s="75">
        <f>'MFPRSI Supplemental Info 2014'!W22</f>
        <v>29838239</v>
      </c>
      <c r="F22" s="75">
        <f t="shared" si="1"/>
        <v>29348052</v>
      </c>
      <c r="G22" s="75">
        <f t="shared" si="0"/>
        <v>-490187</v>
      </c>
      <c r="H22" s="75">
        <f t="shared" si="2"/>
        <v>6456517</v>
      </c>
      <c r="I22" s="75">
        <f t="shared" si="3"/>
        <v>6456517</v>
      </c>
      <c r="J22" s="75">
        <f t="shared" si="4"/>
        <v>0</v>
      </c>
      <c r="K22" s="61">
        <f t="shared" si="5"/>
        <v>-87533</v>
      </c>
      <c r="L22" s="61">
        <f t="shared" si="6"/>
        <v>0</v>
      </c>
      <c r="M22" s="61">
        <f t="shared" si="7"/>
        <v>-402654</v>
      </c>
      <c r="O22" s="61">
        <v>1022425.5653049471</v>
      </c>
      <c r="P22" s="75">
        <v>2861935.8462030655</v>
      </c>
      <c r="Q22" s="61">
        <v>6431633.2131945882</v>
      </c>
      <c r="S22" s="75">
        <v>-65002.483990878733</v>
      </c>
      <c r="T22" s="61">
        <v>0</v>
      </c>
      <c r="U22" s="75">
        <v>-10346781</v>
      </c>
      <c r="W22" s="75">
        <v>38036417</v>
      </c>
      <c r="X22" s="75"/>
      <c r="Y22" s="75">
        <v>3531021.3055588966</v>
      </c>
      <c r="AA22" s="49"/>
    </row>
    <row r="23" spans="1:27" ht="20.100000000000001" customHeight="1" x14ac:dyDescent="0.25">
      <c r="A23" s="56">
        <v>117</v>
      </c>
      <c r="B23" s="73" t="s">
        <v>120</v>
      </c>
      <c r="C23" s="58">
        <f>'MFPRSI Supplemental Info 2014'!D23</f>
        <v>2.8941409570900122E-3</v>
      </c>
      <c r="D23" s="58">
        <v>2.9432239622285651E-3</v>
      </c>
      <c r="E23" s="75">
        <f>'MFPRSI Supplemental Info 2014'!W23</f>
        <v>1049121</v>
      </c>
      <c r="F23" s="75">
        <f t="shared" si="1"/>
        <v>1066914</v>
      </c>
      <c r="G23" s="75">
        <f t="shared" si="0"/>
        <v>17793</v>
      </c>
      <c r="H23" s="75">
        <f t="shared" si="2"/>
        <v>234719</v>
      </c>
      <c r="I23" s="75">
        <f t="shared" si="3"/>
        <v>234719</v>
      </c>
      <c r="J23" s="75">
        <f t="shared" si="4"/>
        <v>0</v>
      </c>
      <c r="K23" s="61">
        <f t="shared" si="5"/>
        <v>3177</v>
      </c>
      <c r="L23" s="61">
        <f t="shared" si="6"/>
        <v>14616</v>
      </c>
      <c r="M23" s="61">
        <f t="shared" si="7"/>
        <v>0</v>
      </c>
      <c r="O23" s="61">
        <v>37169.065962780223</v>
      </c>
      <c r="P23" s="75">
        <v>104042.27540714866</v>
      </c>
      <c r="Q23" s="61">
        <v>233814.37951264132</v>
      </c>
      <c r="S23" s="75">
        <v>-2363.0880302576547</v>
      </c>
      <c r="T23" s="61">
        <v>0</v>
      </c>
      <c r="U23" s="75">
        <v>-376144</v>
      </c>
      <c r="W23" s="75">
        <v>1382767</v>
      </c>
      <c r="X23" s="75"/>
      <c r="Y23" s="75">
        <v>128366.08187037663</v>
      </c>
      <c r="AA23" s="49"/>
    </row>
    <row r="24" spans="1:27" ht="20.100000000000001" customHeight="1" x14ac:dyDescent="0.25">
      <c r="A24" s="56">
        <v>118</v>
      </c>
      <c r="B24" s="73" t="s">
        <v>121</v>
      </c>
      <c r="C24" s="58">
        <f>'MFPRSI Supplemental Info 2014'!D24</f>
        <v>0.1820457921297596</v>
      </c>
      <c r="D24" s="58">
        <v>0.1830480436587103</v>
      </c>
      <c r="E24" s="75">
        <f>'MFPRSI Supplemental Info 2014'!W24</f>
        <v>65991282</v>
      </c>
      <c r="F24" s="75">
        <f t="shared" si="1"/>
        <v>66354596</v>
      </c>
      <c r="G24" s="75">
        <f t="shared" si="0"/>
        <v>363314</v>
      </c>
      <c r="H24" s="75">
        <f t="shared" si="2"/>
        <v>14597888</v>
      </c>
      <c r="I24" s="75">
        <f t="shared" si="3"/>
        <v>14597888</v>
      </c>
      <c r="J24" s="75">
        <f t="shared" si="4"/>
        <v>0</v>
      </c>
      <c r="K24" s="61">
        <f>ROUND((G24+J24)/5.6,0)+1</f>
        <v>64879</v>
      </c>
      <c r="L24" s="61">
        <f t="shared" si="6"/>
        <v>298435</v>
      </c>
      <c r="M24" s="61">
        <f t="shared" si="7"/>
        <v>0</v>
      </c>
      <c r="O24" s="61">
        <v>2311657.1815203619</v>
      </c>
      <c r="P24" s="75">
        <v>6470705.3270451492</v>
      </c>
      <c r="Q24" s="61">
        <v>14541626.90244519</v>
      </c>
      <c r="S24" s="75">
        <v>-146967.62682118558</v>
      </c>
      <c r="T24" s="61">
        <v>0</v>
      </c>
      <c r="U24" s="75">
        <v>-23393598</v>
      </c>
      <c r="W24" s="75">
        <v>85998596</v>
      </c>
      <c r="X24" s="75"/>
      <c r="Y24" s="75">
        <v>7983476.779223619</v>
      </c>
      <c r="AA24" s="49"/>
    </row>
    <row r="25" spans="1:27" ht="20.100000000000001" customHeight="1" x14ac:dyDescent="0.25">
      <c r="A25" s="56">
        <v>119</v>
      </c>
      <c r="B25" s="73" t="s">
        <v>122</v>
      </c>
      <c r="C25" s="58">
        <f>'MFPRSI Supplemental Info 2014'!D25</f>
        <v>2.0695428219122793E-3</v>
      </c>
      <c r="D25" s="58">
        <v>2.2493840451277202E-3</v>
      </c>
      <c r="E25" s="75">
        <f>'MFPRSI Supplemental Info 2014'!W25</f>
        <v>750206</v>
      </c>
      <c r="F25" s="75">
        <f t="shared" si="1"/>
        <v>815398</v>
      </c>
      <c r="G25" s="75">
        <f t="shared" si="0"/>
        <v>65192</v>
      </c>
      <c r="H25" s="75">
        <f t="shared" si="2"/>
        <v>179386</v>
      </c>
      <c r="I25" s="75">
        <f t="shared" si="3"/>
        <v>179386</v>
      </c>
      <c r="J25" s="75">
        <f t="shared" si="4"/>
        <v>0</v>
      </c>
      <c r="K25" s="61">
        <f t="shared" ref="K25:K55" si="8">ROUND((G25+J25)/5.6,0)</f>
        <v>11641</v>
      </c>
      <c r="L25" s="61">
        <f t="shared" si="6"/>
        <v>53551</v>
      </c>
      <c r="M25" s="61">
        <f t="shared" si="7"/>
        <v>0</v>
      </c>
      <c r="O25" s="61">
        <v>28406.776046248033</v>
      </c>
      <c r="P25" s="75">
        <v>79515.197390014306</v>
      </c>
      <c r="Q25" s="61">
        <v>178694.63606804167</v>
      </c>
      <c r="S25" s="75">
        <v>-1806.0102053766404</v>
      </c>
      <c r="T25" s="61">
        <v>0</v>
      </c>
      <c r="U25" s="75">
        <v>-287471</v>
      </c>
      <c r="W25" s="75">
        <v>1056791</v>
      </c>
      <c r="X25" s="75"/>
      <c r="Y25" s="75">
        <v>98104.874178909173</v>
      </c>
      <c r="AA25" s="49"/>
    </row>
    <row r="26" spans="1:27" ht="20.100000000000001" customHeight="1" x14ac:dyDescent="0.25">
      <c r="A26" s="56">
        <v>120</v>
      </c>
      <c r="B26" s="73" t="s">
        <v>123</v>
      </c>
      <c r="C26" s="58">
        <f>'MFPRSI Supplemental Info 2014'!D26</f>
        <v>5.0788001669305957E-2</v>
      </c>
      <c r="D26" s="58">
        <v>4.9854905286957844E-2</v>
      </c>
      <c r="E26" s="75">
        <f>'MFPRSI Supplemental Info 2014'!W26</f>
        <v>18410561</v>
      </c>
      <c r="F26" s="75">
        <f t="shared" si="1"/>
        <v>18072316</v>
      </c>
      <c r="G26" s="75">
        <f t="shared" si="0"/>
        <v>-338245</v>
      </c>
      <c r="H26" s="75">
        <f t="shared" si="2"/>
        <v>3975876</v>
      </c>
      <c r="I26" s="75">
        <f t="shared" si="3"/>
        <v>3975876</v>
      </c>
      <c r="J26" s="75">
        <f t="shared" si="4"/>
        <v>0</v>
      </c>
      <c r="K26" s="61">
        <f t="shared" si="8"/>
        <v>-60401</v>
      </c>
      <c r="L26" s="61">
        <f t="shared" si="6"/>
        <v>0</v>
      </c>
      <c r="M26" s="61">
        <f t="shared" si="7"/>
        <v>-277844</v>
      </c>
      <c r="O26" s="61">
        <v>629602.1937032569</v>
      </c>
      <c r="P26" s="75">
        <v>1762359.1859912174</v>
      </c>
      <c r="Q26" s="61">
        <v>3960552.7458757162</v>
      </c>
      <c r="S26" s="75">
        <v>-40028.054760750871</v>
      </c>
      <c r="T26" s="61">
        <v>0</v>
      </c>
      <c r="U26" s="75">
        <v>-6371473</v>
      </c>
      <c r="W26" s="75">
        <v>23422551</v>
      </c>
      <c r="X26" s="75"/>
      <c r="Y26" s="75">
        <v>2174377.1238053399</v>
      </c>
      <c r="AA26" s="49"/>
    </row>
    <row r="27" spans="1:27" ht="20.100000000000001" customHeight="1" x14ac:dyDescent="0.25">
      <c r="A27" s="56">
        <v>121</v>
      </c>
      <c r="B27" s="73" t="s">
        <v>124</v>
      </c>
      <c r="C27" s="58">
        <f>'MFPRSI Supplemental Info 2014'!D27</f>
        <v>2.503164653213436E-3</v>
      </c>
      <c r="D27" s="58">
        <v>2.3507396204611765E-3</v>
      </c>
      <c r="E27" s="75">
        <f>'MFPRSI Supplemental Info 2014'!W27</f>
        <v>907392</v>
      </c>
      <c r="F27" s="75">
        <f t="shared" si="1"/>
        <v>852139</v>
      </c>
      <c r="G27" s="75">
        <f t="shared" si="0"/>
        <v>-55253</v>
      </c>
      <c r="H27" s="75">
        <f t="shared" si="2"/>
        <v>187469</v>
      </c>
      <c r="I27" s="75">
        <f t="shared" si="3"/>
        <v>187469</v>
      </c>
      <c r="J27" s="75">
        <f t="shared" si="4"/>
        <v>0</v>
      </c>
      <c r="K27" s="61">
        <f t="shared" si="8"/>
        <v>-9867</v>
      </c>
      <c r="L27" s="61">
        <f t="shared" si="6"/>
        <v>0</v>
      </c>
      <c r="M27" s="61">
        <f t="shared" si="7"/>
        <v>-45386</v>
      </c>
      <c r="O27" s="61">
        <v>29686.764288261475</v>
      </c>
      <c r="P27" s="75">
        <v>83098.093159491778</v>
      </c>
      <c r="Q27" s="61">
        <v>186746.4837224739</v>
      </c>
      <c r="S27" s="75">
        <v>-1887.3876846116943</v>
      </c>
      <c r="T27" s="61">
        <v>0</v>
      </c>
      <c r="U27" s="75">
        <v>-300425</v>
      </c>
      <c r="W27" s="75">
        <v>1104411</v>
      </c>
      <c r="X27" s="75"/>
      <c r="Y27" s="75">
        <v>102525.40698519352</v>
      </c>
      <c r="AA27" s="49"/>
    </row>
    <row r="28" spans="1:27" ht="20.100000000000001" customHeight="1" x14ac:dyDescent="0.25">
      <c r="A28" s="56">
        <v>122</v>
      </c>
      <c r="B28" s="73" t="s">
        <v>125</v>
      </c>
      <c r="C28" s="58">
        <f>'MFPRSI Supplemental Info 2014'!D28</f>
        <v>1.0326647681139247E-3</v>
      </c>
      <c r="D28" s="58">
        <v>1.0593494637289424E-3</v>
      </c>
      <c r="E28" s="75">
        <f>'MFPRSI Supplemental Info 2014'!W28</f>
        <v>374339</v>
      </c>
      <c r="F28" s="75">
        <f t="shared" si="1"/>
        <v>384012</v>
      </c>
      <c r="G28" s="75">
        <f t="shared" si="0"/>
        <v>9673</v>
      </c>
      <c r="H28" s="75">
        <f t="shared" si="2"/>
        <v>84482</v>
      </c>
      <c r="I28" s="75">
        <f t="shared" si="3"/>
        <v>84482</v>
      </c>
      <c r="J28" s="75">
        <f t="shared" si="4"/>
        <v>0</v>
      </c>
      <c r="K28" s="61">
        <f t="shared" si="8"/>
        <v>1727</v>
      </c>
      <c r="L28" s="61">
        <f t="shared" si="6"/>
        <v>7946</v>
      </c>
      <c r="M28" s="61">
        <f t="shared" si="7"/>
        <v>0</v>
      </c>
      <c r="O28" s="61">
        <v>13378.197038448521</v>
      </c>
      <c r="P28" s="75">
        <v>37447.754595694139</v>
      </c>
      <c r="Q28" s="61">
        <v>84156.401526876652</v>
      </c>
      <c r="S28" s="75">
        <v>-850.5421502827943</v>
      </c>
      <c r="T28" s="61">
        <v>0</v>
      </c>
      <c r="U28" s="75">
        <v>-135385</v>
      </c>
      <c r="W28" s="75">
        <v>497698</v>
      </c>
      <c r="X28" s="75"/>
      <c r="Y28" s="75">
        <v>46202.579802117252</v>
      </c>
      <c r="AA28" s="49"/>
    </row>
    <row r="29" spans="1:27" ht="20.100000000000001" customHeight="1" x14ac:dyDescent="0.25">
      <c r="A29" s="56">
        <v>123</v>
      </c>
      <c r="B29" s="73" t="s">
        <v>126</v>
      </c>
      <c r="C29" s="58">
        <f>'MFPRSI Supplemental Info 2014'!D29</f>
        <v>3.2123397007037457E-3</v>
      </c>
      <c r="D29" s="58">
        <v>3.3350410675662499E-3</v>
      </c>
      <c r="E29" s="75">
        <f>'MFPRSI Supplemental Info 2014'!W29</f>
        <v>1164467</v>
      </c>
      <c r="F29" s="75">
        <f t="shared" si="1"/>
        <v>1208947</v>
      </c>
      <c r="G29" s="75">
        <f t="shared" si="0"/>
        <v>44480</v>
      </c>
      <c r="H29" s="75">
        <f t="shared" si="2"/>
        <v>265966</v>
      </c>
      <c r="I29" s="75">
        <f t="shared" si="3"/>
        <v>265966</v>
      </c>
      <c r="J29" s="75">
        <f t="shared" si="4"/>
        <v>0</v>
      </c>
      <c r="K29" s="61">
        <f t="shared" si="8"/>
        <v>7943</v>
      </c>
      <c r="L29" s="61">
        <f t="shared" si="6"/>
        <v>36537</v>
      </c>
      <c r="M29" s="61">
        <f t="shared" si="7"/>
        <v>0</v>
      </c>
      <c r="O29" s="61">
        <v>42117.203114604294</v>
      </c>
      <c r="P29" s="75">
        <v>117892.91800381606</v>
      </c>
      <c r="Q29" s="61">
        <v>264940.95178259606</v>
      </c>
      <c r="S29" s="75">
        <v>-2677.6744577793338</v>
      </c>
      <c r="T29" s="61">
        <v>0</v>
      </c>
      <c r="U29" s="75">
        <v>-426219</v>
      </c>
      <c r="W29" s="75">
        <v>1566850</v>
      </c>
      <c r="X29" s="75"/>
      <c r="Y29" s="75">
        <v>145454.83463518758</v>
      </c>
      <c r="AA29" s="49"/>
    </row>
    <row r="30" spans="1:27" ht="20.100000000000001" customHeight="1" x14ac:dyDescent="0.25">
      <c r="A30" s="56">
        <v>124</v>
      </c>
      <c r="B30" s="73" t="s">
        <v>127</v>
      </c>
      <c r="C30" s="58">
        <f>'MFPRSI Supplemental Info 2014'!D30</f>
        <v>1.4805442570812186E-2</v>
      </c>
      <c r="D30" s="58">
        <v>1.452899507395352E-2</v>
      </c>
      <c r="E30" s="75">
        <f>'MFPRSI Supplemental Info 2014'!W30</f>
        <v>5366947</v>
      </c>
      <c r="F30" s="75">
        <f t="shared" si="1"/>
        <v>5266735</v>
      </c>
      <c r="G30" s="75">
        <f t="shared" si="0"/>
        <v>-100212</v>
      </c>
      <c r="H30" s="75">
        <f t="shared" si="2"/>
        <v>1158672</v>
      </c>
      <c r="I30" s="75">
        <f t="shared" si="3"/>
        <v>1158672</v>
      </c>
      <c r="J30" s="75">
        <f t="shared" si="4"/>
        <v>0</v>
      </c>
      <c r="K30" s="61">
        <f t="shared" si="8"/>
        <v>-17895</v>
      </c>
      <c r="L30" s="61">
        <f t="shared" si="6"/>
        <v>0</v>
      </c>
      <c r="M30" s="61">
        <f t="shared" si="7"/>
        <v>-82317</v>
      </c>
      <c r="O30" s="61">
        <v>183482.18932948116</v>
      </c>
      <c r="P30" s="75">
        <v>513596.56155041454</v>
      </c>
      <c r="Q30" s="61">
        <v>1154206.4116610549</v>
      </c>
      <c r="S30" s="75">
        <v>-11665.199383921616</v>
      </c>
      <c r="T30" s="61">
        <v>0</v>
      </c>
      <c r="U30" s="75">
        <v>-1856811</v>
      </c>
      <c r="W30" s="75">
        <v>6825932</v>
      </c>
      <c r="X30" s="75"/>
      <c r="Y30" s="75">
        <v>633669.13122888666</v>
      </c>
      <c r="AA30" s="49"/>
    </row>
    <row r="31" spans="1:27" ht="20.100000000000001" customHeight="1" x14ac:dyDescent="0.25">
      <c r="A31" s="56">
        <v>125</v>
      </c>
      <c r="B31" s="73" t="s">
        <v>128</v>
      </c>
      <c r="C31" s="58">
        <f>'MFPRSI Supplemental Info 2014'!D31</f>
        <v>6.8337147069923096E-3</v>
      </c>
      <c r="D31" s="58">
        <v>7.1055361824670206E-3</v>
      </c>
      <c r="E31" s="75">
        <f>'MFPRSI Supplemental Info 2014'!W31</f>
        <v>2477210</v>
      </c>
      <c r="F31" s="75">
        <f t="shared" si="1"/>
        <v>2575744</v>
      </c>
      <c r="G31" s="75">
        <f t="shared" si="0"/>
        <v>98534</v>
      </c>
      <c r="H31" s="75">
        <f t="shared" si="2"/>
        <v>566659</v>
      </c>
      <c r="I31" s="75">
        <f t="shared" si="3"/>
        <v>566659</v>
      </c>
      <c r="J31" s="75">
        <f t="shared" si="4"/>
        <v>0</v>
      </c>
      <c r="K31" s="61">
        <f t="shared" si="8"/>
        <v>17595</v>
      </c>
      <c r="L31" s="61">
        <f t="shared" si="6"/>
        <v>80939</v>
      </c>
      <c r="M31" s="61">
        <f t="shared" si="7"/>
        <v>0</v>
      </c>
      <c r="O31" s="61">
        <v>89733.62083769562</v>
      </c>
      <c r="P31" s="75">
        <v>251179.03424920631</v>
      </c>
      <c r="Q31" s="61">
        <v>564475.06371556548</v>
      </c>
      <c r="S31" s="75">
        <v>-5704.9710510771283</v>
      </c>
      <c r="T31" s="61">
        <v>0</v>
      </c>
      <c r="U31" s="75">
        <v>-908089</v>
      </c>
      <c r="W31" s="75">
        <v>3338280</v>
      </c>
      <c r="X31" s="75"/>
      <c r="Y31" s="75">
        <v>309901.60824895196</v>
      </c>
      <c r="AA31" s="49"/>
    </row>
    <row r="32" spans="1:27" ht="20.100000000000001" customHeight="1" x14ac:dyDescent="0.25">
      <c r="A32" s="56">
        <v>126</v>
      </c>
      <c r="B32" s="73" t="s">
        <v>129</v>
      </c>
      <c r="C32" s="58">
        <f>'MFPRSI Supplemental Info 2014'!D32</f>
        <v>4.0720016152878047E-3</v>
      </c>
      <c r="D32" s="58">
        <v>3.8365649561023021E-3</v>
      </c>
      <c r="E32" s="75">
        <f>'MFPRSI Supplemental Info 2014'!W32</f>
        <v>1476093</v>
      </c>
      <c r="F32" s="75">
        <f t="shared" si="1"/>
        <v>1390748</v>
      </c>
      <c r="G32" s="75">
        <f t="shared" si="0"/>
        <v>-85345</v>
      </c>
      <c r="H32" s="75">
        <f t="shared" si="2"/>
        <v>305962</v>
      </c>
      <c r="I32" s="75">
        <f t="shared" si="3"/>
        <v>305962</v>
      </c>
      <c r="J32" s="75">
        <f t="shared" si="4"/>
        <v>0</v>
      </c>
      <c r="K32" s="61">
        <f t="shared" si="8"/>
        <v>-15240</v>
      </c>
      <c r="L32" s="61">
        <f t="shared" si="6"/>
        <v>0</v>
      </c>
      <c r="M32" s="61">
        <f t="shared" si="7"/>
        <v>-70105</v>
      </c>
      <c r="O32" s="61">
        <v>48450.793332044537</v>
      </c>
      <c r="P32" s="75">
        <v>135621.66960545169</v>
      </c>
      <c r="Q32" s="61">
        <v>304782.80490478728</v>
      </c>
      <c r="S32" s="75">
        <v>-3080.3434741699334</v>
      </c>
      <c r="T32" s="61">
        <v>0</v>
      </c>
      <c r="U32" s="75">
        <v>-490314</v>
      </c>
      <c r="W32" s="75">
        <v>1802471</v>
      </c>
      <c r="X32" s="75"/>
      <c r="Y32" s="75">
        <v>167328.35067133117</v>
      </c>
      <c r="AA32" s="49"/>
    </row>
    <row r="33" spans="1:27" ht="20.100000000000001" customHeight="1" x14ac:dyDescent="0.25">
      <c r="A33" s="56">
        <v>127</v>
      </c>
      <c r="B33" s="73" t="s">
        <v>130</v>
      </c>
      <c r="C33" s="58">
        <f>'MFPRSI Supplemental Info 2014'!D33</f>
        <v>4.6781966677311264E-3</v>
      </c>
      <c r="D33" s="58">
        <v>4.5037462126614018E-3</v>
      </c>
      <c r="E33" s="75">
        <f>'MFPRSI Supplemental Info 2014'!W33</f>
        <v>1695838</v>
      </c>
      <c r="F33" s="75">
        <f t="shared" si="1"/>
        <v>1632600</v>
      </c>
      <c r="G33" s="75">
        <f t="shared" si="0"/>
        <v>-63238</v>
      </c>
      <c r="H33" s="75">
        <f t="shared" si="2"/>
        <v>359169</v>
      </c>
      <c r="I33" s="75">
        <f t="shared" si="3"/>
        <v>359169</v>
      </c>
      <c r="J33" s="75">
        <f t="shared" si="4"/>
        <v>0</v>
      </c>
      <c r="K33" s="61">
        <f t="shared" si="8"/>
        <v>-11293</v>
      </c>
      <c r="L33" s="61">
        <f t="shared" si="6"/>
        <v>0</v>
      </c>
      <c r="M33" s="61">
        <f t="shared" si="7"/>
        <v>-51945</v>
      </c>
      <c r="O33" s="61">
        <v>56876.419262121133</v>
      </c>
      <c r="P33" s="75">
        <v>159206.37023722057</v>
      </c>
      <c r="Q33" s="61">
        <v>357784.74207531504</v>
      </c>
      <c r="S33" s="75">
        <v>-3616.0173004299254</v>
      </c>
      <c r="T33" s="61">
        <v>0</v>
      </c>
      <c r="U33" s="75">
        <v>-575581</v>
      </c>
      <c r="W33" s="75">
        <v>2115926</v>
      </c>
      <c r="X33" s="75"/>
      <c r="Y33" s="75">
        <v>196426.86471611293</v>
      </c>
      <c r="AA33" s="49"/>
    </row>
    <row r="34" spans="1:27" ht="20.100000000000001" customHeight="1" x14ac:dyDescent="0.25">
      <c r="A34" s="56">
        <v>128</v>
      </c>
      <c r="B34" s="73" t="s">
        <v>131</v>
      </c>
      <c r="C34" s="58">
        <f>'MFPRSI Supplemental Info 2014'!D34</f>
        <v>3.7781370334920884E-2</v>
      </c>
      <c r="D34" s="58">
        <v>3.7049719894093142E-2</v>
      </c>
      <c r="E34" s="75">
        <f>'MFPRSI Supplemental Info 2014'!W34</f>
        <v>13695681</v>
      </c>
      <c r="F34" s="75">
        <f t="shared" si="1"/>
        <v>13430459</v>
      </c>
      <c r="G34" s="75">
        <f t="shared" si="0"/>
        <v>-265222</v>
      </c>
      <c r="H34" s="75">
        <f t="shared" si="2"/>
        <v>2954676</v>
      </c>
      <c r="I34" s="75">
        <f t="shared" si="3"/>
        <v>2954676</v>
      </c>
      <c r="J34" s="75">
        <f t="shared" si="4"/>
        <v>0</v>
      </c>
      <c r="K34" s="61">
        <f t="shared" si="8"/>
        <v>-47361</v>
      </c>
      <c r="L34" s="61">
        <f t="shared" si="6"/>
        <v>0</v>
      </c>
      <c r="M34" s="61">
        <f t="shared" si="7"/>
        <v>-217861</v>
      </c>
      <c r="O34" s="61">
        <v>467889.46417905501</v>
      </c>
      <c r="P34" s="75">
        <v>1309698.8915720175</v>
      </c>
      <c r="Q34" s="61">
        <v>2943288.5092425114</v>
      </c>
      <c r="S34" s="75">
        <v>-29746.886655488335</v>
      </c>
      <c r="T34" s="61">
        <v>0</v>
      </c>
      <c r="U34" s="75">
        <v>-4734966</v>
      </c>
      <c r="W34" s="75">
        <v>17406489</v>
      </c>
      <c r="X34" s="75"/>
      <c r="Y34" s="75">
        <v>1615890.410731287</v>
      </c>
      <c r="AA34" s="49"/>
    </row>
    <row r="35" spans="1:27" ht="20.100000000000001" customHeight="1" x14ac:dyDescent="0.25">
      <c r="A35" s="56">
        <v>129</v>
      </c>
      <c r="B35" s="73" t="s">
        <v>132</v>
      </c>
      <c r="C35" s="58">
        <f>'MFPRSI Supplemental Info 2014'!D35</f>
        <v>8.0940792250535059E-3</v>
      </c>
      <c r="D35" s="58">
        <v>8.186804432003569E-3</v>
      </c>
      <c r="E35" s="75">
        <f>'MFPRSI Supplemental Info 2014'!W35</f>
        <v>2934090</v>
      </c>
      <c r="F35" s="75">
        <f t="shared" si="1"/>
        <v>2967702</v>
      </c>
      <c r="G35" s="75">
        <f t="shared" si="0"/>
        <v>33612</v>
      </c>
      <c r="H35" s="75">
        <f t="shared" si="2"/>
        <v>652889</v>
      </c>
      <c r="I35" s="75">
        <f t="shared" si="3"/>
        <v>652889</v>
      </c>
      <c r="J35" s="75">
        <f t="shared" si="4"/>
        <v>0</v>
      </c>
      <c r="K35" s="61">
        <f t="shared" si="8"/>
        <v>6002</v>
      </c>
      <c r="L35" s="61">
        <f t="shared" si="6"/>
        <v>27610</v>
      </c>
      <c r="M35" s="61">
        <f t="shared" si="7"/>
        <v>0</v>
      </c>
      <c r="O35" s="61">
        <v>103388.62344920359</v>
      </c>
      <c r="P35" s="75">
        <v>289401.61277228466</v>
      </c>
      <c r="Q35" s="61">
        <v>650372.72835019266</v>
      </c>
      <c r="S35" s="75">
        <v>-6573.1115972157777</v>
      </c>
      <c r="T35" s="61">
        <v>0</v>
      </c>
      <c r="U35" s="75">
        <v>-1046277</v>
      </c>
      <c r="W35" s="75">
        <v>3846281</v>
      </c>
      <c r="X35" s="75"/>
      <c r="Y35" s="75">
        <v>357060.15629867348</v>
      </c>
      <c r="AA35" s="49"/>
    </row>
    <row r="36" spans="1:27" ht="20.100000000000001" customHeight="1" x14ac:dyDescent="0.25">
      <c r="A36" s="56">
        <v>130</v>
      </c>
      <c r="B36" s="77" t="s">
        <v>133</v>
      </c>
      <c r="C36" s="58">
        <f>'MFPRSI Supplemental Info 2014'!D36</f>
        <v>2.5470034033618421E-3</v>
      </c>
      <c r="D36" s="58">
        <v>2.5516200258604055E-3</v>
      </c>
      <c r="E36" s="75">
        <f>'MFPRSI Supplemental Info 2014'!W36</f>
        <v>923284</v>
      </c>
      <c r="F36" s="75">
        <f t="shared" si="1"/>
        <v>924958</v>
      </c>
      <c r="G36" s="75">
        <f t="shared" si="0"/>
        <v>1674</v>
      </c>
      <c r="H36" s="75">
        <f t="shared" si="2"/>
        <v>203489</v>
      </c>
      <c r="I36" s="75">
        <f t="shared" si="3"/>
        <v>203489</v>
      </c>
      <c r="J36" s="75">
        <f t="shared" si="4"/>
        <v>0</v>
      </c>
      <c r="K36" s="61">
        <f t="shared" si="8"/>
        <v>299</v>
      </c>
      <c r="L36" s="61">
        <f t="shared" si="6"/>
        <v>1375</v>
      </c>
      <c r="M36" s="61">
        <f t="shared" si="7"/>
        <v>0</v>
      </c>
      <c r="O36" s="61">
        <v>32223.620856003072</v>
      </c>
      <c r="P36" s="75">
        <v>90199.16828345925</v>
      </c>
      <c r="Q36" s="61">
        <v>202704.74172371163</v>
      </c>
      <c r="S36" s="75">
        <v>-2048.6727541830869</v>
      </c>
      <c r="T36" s="61">
        <v>0</v>
      </c>
      <c r="U36" s="75">
        <v>-326098</v>
      </c>
      <c r="W36" s="75">
        <v>1198788</v>
      </c>
      <c r="X36" s="75"/>
      <c r="Y36" s="75">
        <v>111286.62627959847</v>
      </c>
      <c r="AA36" s="49"/>
    </row>
    <row r="37" spans="1:27" ht="20.100000000000001" customHeight="1" x14ac:dyDescent="0.25">
      <c r="A37" s="56">
        <v>131</v>
      </c>
      <c r="B37" s="78" t="s">
        <v>134</v>
      </c>
      <c r="C37" s="58">
        <f>'MFPRSI Supplemental Info 2014'!D37</f>
        <v>3.5153135722255846E-3</v>
      </c>
      <c r="D37" s="58">
        <v>3.5285984918947454E-3</v>
      </c>
      <c r="E37" s="75">
        <f>'MFPRSI Supplemental Info 2014'!W37</f>
        <v>1274295</v>
      </c>
      <c r="F37" s="75">
        <f t="shared" si="1"/>
        <v>1279111</v>
      </c>
      <c r="G37" s="75">
        <f t="shared" si="0"/>
        <v>4816</v>
      </c>
      <c r="H37" s="75">
        <f t="shared" si="2"/>
        <v>281402</v>
      </c>
      <c r="I37" s="75">
        <f t="shared" si="3"/>
        <v>281402</v>
      </c>
      <c r="J37" s="75">
        <f t="shared" si="4"/>
        <v>0</v>
      </c>
      <c r="K37" s="61">
        <f t="shared" si="8"/>
        <v>860</v>
      </c>
      <c r="L37" s="61">
        <f t="shared" si="6"/>
        <v>3956</v>
      </c>
      <c r="M37" s="61">
        <f t="shared" si="7"/>
        <v>0</v>
      </c>
      <c r="O37" s="61">
        <v>44561.580017204746</v>
      </c>
      <c r="P37" s="75">
        <v>124735.12746783365</v>
      </c>
      <c r="Q37" s="61">
        <v>280317.4605533267</v>
      </c>
      <c r="S37" s="75">
        <v>-2833.0799717558639</v>
      </c>
      <c r="T37" s="61">
        <v>0</v>
      </c>
      <c r="U37" s="75">
        <v>-450956</v>
      </c>
      <c r="W37" s="75">
        <v>1657787</v>
      </c>
      <c r="X37" s="75"/>
      <c r="Y37" s="75">
        <v>153896.66865693757</v>
      </c>
      <c r="AA37" s="49"/>
    </row>
    <row r="38" spans="1:27" ht="20.100000000000001" customHeight="1" x14ac:dyDescent="0.25">
      <c r="A38" s="56">
        <v>132</v>
      </c>
      <c r="B38" s="77" t="s">
        <v>135</v>
      </c>
      <c r="C38" s="58">
        <f>'MFPRSI Supplemental Info 2014'!D38</f>
        <v>2.1412426908496702E-3</v>
      </c>
      <c r="D38" s="58">
        <v>2.1743861859084453E-3</v>
      </c>
      <c r="E38" s="75">
        <f>'MFPRSI Supplemental Info 2014'!W38</f>
        <v>776197</v>
      </c>
      <c r="F38" s="75">
        <f t="shared" si="1"/>
        <v>788211</v>
      </c>
      <c r="G38" s="75">
        <f t="shared" si="0"/>
        <v>12014</v>
      </c>
      <c r="H38" s="75">
        <f t="shared" si="2"/>
        <v>173405</v>
      </c>
      <c r="I38" s="75">
        <f t="shared" si="3"/>
        <v>173405</v>
      </c>
      <c r="J38" s="75">
        <f t="shared" si="4"/>
        <v>0</v>
      </c>
      <c r="K38" s="61">
        <f t="shared" si="8"/>
        <v>2145</v>
      </c>
      <c r="L38" s="61">
        <f t="shared" si="6"/>
        <v>9869</v>
      </c>
      <c r="M38" s="61">
        <f t="shared" si="7"/>
        <v>0</v>
      </c>
      <c r="O38" s="61">
        <v>27459.651256506309</v>
      </c>
      <c r="P38" s="75">
        <v>76864.040691109854</v>
      </c>
      <c r="Q38" s="61">
        <v>172736.68718505773</v>
      </c>
      <c r="S38" s="75">
        <v>-1745.7950991902176</v>
      </c>
      <c r="T38" s="61">
        <v>0</v>
      </c>
      <c r="U38" s="75">
        <v>-277886</v>
      </c>
      <c r="W38" s="75">
        <v>1021555</v>
      </c>
      <c r="X38" s="75"/>
      <c r="Y38" s="75">
        <v>94833.909597146645</v>
      </c>
      <c r="AA38" s="49"/>
    </row>
    <row r="39" spans="1:27" ht="20.100000000000001" customHeight="1" x14ac:dyDescent="0.25">
      <c r="A39" s="56">
        <v>133</v>
      </c>
      <c r="B39" s="78" t="s">
        <v>136</v>
      </c>
      <c r="C39" s="58">
        <f>'MFPRSI Supplemental Info 2014'!D39</f>
        <v>1.8394678186215749E-2</v>
      </c>
      <c r="D39" s="58">
        <v>1.8580835610573547E-2</v>
      </c>
      <c r="E39" s="75">
        <f>'MFPRSI Supplemental Info 2014'!W39</f>
        <v>6668039</v>
      </c>
      <c r="F39" s="75">
        <f t="shared" si="1"/>
        <v>6735520</v>
      </c>
      <c r="G39" s="75">
        <f t="shared" si="0"/>
        <v>67481</v>
      </c>
      <c r="H39" s="75">
        <f t="shared" si="2"/>
        <v>1481802</v>
      </c>
      <c r="I39" s="75">
        <f t="shared" si="3"/>
        <v>1481802</v>
      </c>
      <c r="J39" s="75">
        <f t="shared" si="4"/>
        <v>0</v>
      </c>
      <c r="K39" s="61">
        <f t="shared" si="8"/>
        <v>12050</v>
      </c>
      <c r="L39" s="61">
        <f t="shared" si="6"/>
        <v>55431</v>
      </c>
      <c r="M39" s="61">
        <f t="shared" si="7"/>
        <v>0</v>
      </c>
      <c r="O39" s="61">
        <v>234651.63144772965</v>
      </c>
      <c r="P39" s="75">
        <v>656828.17233740643</v>
      </c>
      <c r="Q39" s="61">
        <v>1476091.0501092409</v>
      </c>
      <c r="S39" s="75">
        <v>-14918.385684209006</v>
      </c>
      <c r="T39" s="61">
        <v>0</v>
      </c>
      <c r="U39" s="75">
        <v>-2374636</v>
      </c>
      <c r="W39" s="75">
        <v>8729540</v>
      </c>
      <c r="X39" s="75"/>
      <c r="Y39" s="75">
        <v>810386.5338881294</v>
      </c>
      <c r="AA39" s="49"/>
    </row>
    <row r="40" spans="1:27" ht="20.100000000000001" customHeight="1" x14ac:dyDescent="0.25">
      <c r="A40" s="56">
        <v>134</v>
      </c>
      <c r="B40" s="77" t="s">
        <v>137</v>
      </c>
      <c r="C40" s="58">
        <f>'MFPRSI Supplemental Info 2014'!D40</f>
        <v>1.5610552003226806E-2</v>
      </c>
      <c r="D40" s="58">
        <v>1.5159812212181921E-2</v>
      </c>
      <c r="E40" s="75">
        <f>'MFPRSI Supplemental Info 2014'!W40</f>
        <v>5658798</v>
      </c>
      <c r="F40" s="75">
        <f t="shared" si="1"/>
        <v>5495405</v>
      </c>
      <c r="G40" s="75">
        <f t="shared" si="0"/>
        <v>-163393</v>
      </c>
      <c r="H40" s="75">
        <f t="shared" si="2"/>
        <v>1208979</v>
      </c>
      <c r="I40" s="75">
        <f t="shared" si="3"/>
        <v>1208979</v>
      </c>
      <c r="J40" s="75">
        <f t="shared" si="4"/>
        <v>0</v>
      </c>
      <c r="K40" s="61">
        <f t="shared" si="8"/>
        <v>-29177</v>
      </c>
      <c r="L40" s="61">
        <f t="shared" si="6"/>
        <v>0</v>
      </c>
      <c r="M40" s="61">
        <f t="shared" si="7"/>
        <v>-134216</v>
      </c>
      <c r="O40" s="61">
        <v>191448.58404567192</v>
      </c>
      <c r="P40" s="75">
        <v>535895.79914476105</v>
      </c>
      <c r="Q40" s="61">
        <v>1204319.5255979004</v>
      </c>
      <c r="S40" s="75">
        <v>-12171.676786850954</v>
      </c>
      <c r="T40" s="61">
        <v>0</v>
      </c>
      <c r="U40" s="75">
        <v>-1937429</v>
      </c>
      <c r="W40" s="75">
        <v>7122296</v>
      </c>
      <c r="X40" s="75"/>
      <c r="Y40" s="75">
        <v>661181.6567621968</v>
      </c>
      <c r="AA40" s="49"/>
    </row>
    <row r="41" spans="1:27" ht="20.100000000000001" customHeight="1" x14ac:dyDescent="0.25">
      <c r="A41" s="56">
        <v>135</v>
      </c>
      <c r="B41" s="78" t="s">
        <v>138</v>
      </c>
      <c r="C41" s="58">
        <f>'MFPRSI Supplemental Info 2014'!D41</f>
        <v>2.0054860770485287E-2</v>
      </c>
      <c r="D41" s="58">
        <v>2.0837454861313963E-2</v>
      </c>
      <c r="E41" s="75">
        <f>'MFPRSI Supplemental Info 2014'!W41</f>
        <v>7269852</v>
      </c>
      <c r="F41" s="75">
        <f t="shared" si="1"/>
        <v>7553541</v>
      </c>
      <c r="G41" s="75">
        <f t="shared" si="0"/>
        <v>283689</v>
      </c>
      <c r="H41" s="75">
        <f t="shared" si="2"/>
        <v>1661765</v>
      </c>
      <c r="I41" s="75">
        <f t="shared" si="3"/>
        <v>1661765</v>
      </c>
      <c r="J41" s="75">
        <f t="shared" si="4"/>
        <v>0</v>
      </c>
      <c r="K41" s="61">
        <f t="shared" si="8"/>
        <v>50659</v>
      </c>
      <c r="L41" s="61">
        <f t="shared" si="6"/>
        <v>233030</v>
      </c>
      <c r="M41" s="61">
        <f t="shared" si="7"/>
        <v>0</v>
      </c>
      <c r="O41" s="61">
        <v>263149.77866998187</v>
      </c>
      <c r="P41" s="75">
        <v>736599.13254555617</v>
      </c>
      <c r="Q41" s="61">
        <v>1655360.4623861914</v>
      </c>
      <c r="S41" s="75">
        <v>-16730.204971055227</v>
      </c>
      <c r="T41" s="61">
        <v>0</v>
      </c>
      <c r="U41" s="75">
        <v>-2663034</v>
      </c>
      <c r="W41" s="75">
        <v>9789737</v>
      </c>
      <c r="X41" s="75"/>
      <c r="Y41" s="75">
        <v>908806.96509156248</v>
      </c>
      <c r="AA41" s="49"/>
    </row>
    <row r="42" spans="1:27" ht="20.100000000000001" customHeight="1" x14ac:dyDescent="0.25">
      <c r="A42" s="56">
        <v>136</v>
      </c>
      <c r="B42" s="78" t="s">
        <v>139</v>
      </c>
      <c r="C42" s="58">
        <f>'MFPRSI Supplemental Info 2014'!D42</f>
        <v>1.7550385557971553E-2</v>
      </c>
      <c r="D42" s="58">
        <v>1.7595894656559901E-2</v>
      </c>
      <c r="E42" s="75">
        <f>'MFPRSI Supplemental Info 2014'!W42</f>
        <v>6361984</v>
      </c>
      <c r="F42" s="75">
        <f t="shared" si="1"/>
        <v>6378481</v>
      </c>
      <c r="G42" s="75">
        <f t="shared" si="0"/>
        <v>16497</v>
      </c>
      <c r="H42" s="75">
        <f t="shared" si="2"/>
        <v>1403254</v>
      </c>
      <c r="I42" s="75">
        <f t="shared" si="3"/>
        <v>1403254</v>
      </c>
      <c r="J42" s="75">
        <f t="shared" si="4"/>
        <v>0</v>
      </c>
      <c r="K42" s="61">
        <f t="shared" si="8"/>
        <v>2946</v>
      </c>
      <c r="L42" s="61">
        <f t="shared" si="6"/>
        <v>13551</v>
      </c>
      <c r="M42" s="61">
        <f t="shared" si="7"/>
        <v>0</v>
      </c>
      <c r="O42" s="61">
        <v>222213.11648624612</v>
      </c>
      <c r="P42" s="75">
        <v>622010.74107414822</v>
      </c>
      <c r="Q42" s="61">
        <v>1397845.7786060439</v>
      </c>
      <c r="S42" s="75">
        <v>-14127.585456700035</v>
      </c>
      <c r="T42" s="61">
        <v>0</v>
      </c>
      <c r="U42" s="75">
        <v>-2248760</v>
      </c>
      <c r="W42" s="75">
        <v>8266801</v>
      </c>
      <c r="X42" s="75"/>
      <c r="Y42" s="75">
        <v>767429.21471603715</v>
      </c>
      <c r="AA42" s="49"/>
    </row>
    <row r="43" spans="1:27" ht="20.100000000000001" customHeight="1" x14ac:dyDescent="0.25">
      <c r="A43" s="56">
        <v>137</v>
      </c>
      <c r="B43" s="78" t="s">
        <v>140</v>
      </c>
      <c r="C43" s="58">
        <f>'MFPRSI Supplemental Info 2014'!D43</f>
        <v>1.0652561755950604E-2</v>
      </c>
      <c r="D43" s="58">
        <v>1.0909436128827438E-2</v>
      </c>
      <c r="E43" s="75">
        <f>'MFPRSI Supplemental Info 2014'!W43</f>
        <v>3861535</v>
      </c>
      <c r="F43" s="75">
        <f t="shared" si="1"/>
        <v>3954652</v>
      </c>
      <c r="G43" s="75">
        <f t="shared" si="0"/>
        <v>93117</v>
      </c>
      <c r="H43" s="75">
        <f t="shared" si="2"/>
        <v>870016</v>
      </c>
      <c r="I43" s="75">
        <f t="shared" si="3"/>
        <v>870016</v>
      </c>
      <c r="J43" s="75">
        <f t="shared" si="4"/>
        <v>0</v>
      </c>
      <c r="K43" s="61">
        <f>ROUND((G43+J43)/5.6,0)</f>
        <v>16628</v>
      </c>
      <c r="L43" s="61">
        <f t="shared" si="6"/>
        <v>76489</v>
      </c>
      <c r="M43" s="61">
        <f t="shared" si="7"/>
        <v>0</v>
      </c>
      <c r="O43" s="61">
        <v>137771.89785519789</v>
      </c>
      <c r="P43" s="75">
        <v>385646.00343655964</v>
      </c>
      <c r="Q43" s="61">
        <v>866662.90843975195</v>
      </c>
      <c r="S43" s="75">
        <v>-8759.0880829103899</v>
      </c>
      <c r="T43" s="61">
        <v>0</v>
      </c>
      <c r="U43" s="75">
        <v>-1394229</v>
      </c>
      <c r="W43" s="75">
        <v>5125407</v>
      </c>
      <c r="X43" s="75"/>
      <c r="Y43" s="75">
        <v>475805.30372290954</v>
      </c>
      <c r="AA43" s="49"/>
    </row>
    <row r="44" spans="1:27" ht="20.100000000000001" customHeight="1" x14ac:dyDescent="0.25">
      <c r="A44" s="56">
        <v>138</v>
      </c>
      <c r="B44" s="78" t="s">
        <v>141</v>
      </c>
      <c r="C44" s="58">
        <f>'MFPRSI Supplemental Info 2014'!D44</f>
        <v>2.3467098673224606E-3</v>
      </c>
      <c r="D44" s="58">
        <v>2.3002812714395474E-3</v>
      </c>
      <c r="E44" s="75">
        <f>'MFPRSI Supplemental Info 2014'!W44</f>
        <v>850678</v>
      </c>
      <c r="F44" s="75">
        <f t="shared" si="1"/>
        <v>833848</v>
      </c>
      <c r="G44" s="75">
        <f t="shared" si="0"/>
        <v>-16830</v>
      </c>
      <c r="H44" s="75">
        <f t="shared" si="2"/>
        <v>183445</v>
      </c>
      <c r="I44" s="75">
        <f t="shared" si="3"/>
        <v>183445</v>
      </c>
      <c r="J44" s="75">
        <f t="shared" si="4"/>
        <v>0</v>
      </c>
      <c r="K44" s="61">
        <f t="shared" si="8"/>
        <v>-3005</v>
      </c>
      <c r="L44" s="61">
        <f t="shared" si="6"/>
        <v>0</v>
      </c>
      <c r="M44" s="61">
        <f t="shared" si="7"/>
        <v>-13825</v>
      </c>
      <c r="O44" s="61">
        <v>29049.541390097169</v>
      </c>
      <c r="P44" s="75">
        <v>81314.402379289211</v>
      </c>
      <c r="Q44" s="61">
        <v>182737.99244925415</v>
      </c>
      <c r="S44" s="75">
        <v>-1846.8751303073698</v>
      </c>
      <c r="T44" s="61">
        <v>0</v>
      </c>
      <c r="U44" s="75">
        <v>-293977</v>
      </c>
      <c r="W44" s="75">
        <v>1080705</v>
      </c>
      <c r="X44" s="75"/>
      <c r="Y44" s="75">
        <v>100324.7112023792</v>
      </c>
      <c r="AA44" s="49"/>
    </row>
    <row r="45" spans="1:27" ht="20.100000000000001" customHeight="1" x14ac:dyDescent="0.25">
      <c r="A45" s="56">
        <v>139</v>
      </c>
      <c r="B45" s="77" t="s">
        <v>142</v>
      </c>
      <c r="C45" s="58">
        <f>'MFPRSI Supplemental Info 2014'!D45</f>
        <v>4.8796202452608475E-3</v>
      </c>
      <c r="D45" s="58">
        <v>4.907776646017741E-3</v>
      </c>
      <c r="E45" s="75">
        <f>'MFPRSI Supplemental Info 2014'!W45</f>
        <v>1768854</v>
      </c>
      <c r="F45" s="75">
        <f t="shared" si="1"/>
        <v>1779060</v>
      </c>
      <c r="G45" s="75">
        <f t="shared" si="0"/>
        <v>10206</v>
      </c>
      <c r="H45" s="75">
        <f t="shared" si="2"/>
        <v>391390</v>
      </c>
      <c r="I45" s="75">
        <f t="shared" si="3"/>
        <v>391390</v>
      </c>
      <c r="J45" s="75">
        <f t="shared" si="4"/>
        <v>0</v>
      </c>
      <c r="K45" s="61">
        <f t="shared" si="8"/>
        <v>1823</v>
      </c>
      <c r="L45" s="61">
        <f t="shared" si="6"/>
        <v>8383</v>
      </c>
      <c r="M45" s="61">
        <f t="shared" si="7"/>
        <v>0</v>
      </c>
      <c r="O45" s="61">
        <v>61978.794759574434</v>
      </c>
      <c r="P45" s="75">
        <v>173488.75110921534</v>
      </c>
      <c r="Q45" s="61">
        <v>389881.56049340992</v>
      </c>
      <c r="S45" s="75">
        <v>-3940.4096990978301</v>
      </c>
      <c r="T45" s="61">
        <v>0</v>
      </c>
      <c r="U45" s="75">
        <v>-627216</v>
      </c>
      <c r="W45" s="75">
        <v>2305745</v>
      </c>
      <c r="X45" s="75"/>
      <c r="Y45" s="75">
        <v>214048.29086374224</v>
      </c>
      <c r="AA45" s="49"/>
    </row>
    <row r="46" spans="1:27" ht="20.100000000000001" customHeight="1" x14ac:dyDescent="0.25">
      <c r="A46" s="56">
        <v>140</v>
      </c>
      <c r="B46" s="78" t="s">
        <v>143</v>
      </c>
      <c r="C46" s="58">
        <f>'MFPRSI Supplemental Info 2014'!D46</f>
        <v>1.4834069085115394E-2</v>
      </c>
      <c r="D46" s="58">
        <v>1.459245673011616E-2</v>
      </c>
      <c r="E46" s="75">
        <f>'MFPRSI Supplemental Info 2014'!W46</f>
        <v>5377325</v>
      </c>
      <c r="F46" s="75">
        <f t="shared" si="1"/>
        <v>5289740</v>
      </c>
      <c r="G46" s="75">
        <f t="shared" si="0"/>
        <v>-87585</v>
      </c>
      <c r="H46" s="75">
        <f t="shared" si="2"/>
        <v>1163733</v>
      </c>
      <c r="I46" s="75">
        <f t="shared" si="3"/>
        <v>1163733</v>
      </c>
      <c r="J46" s="75">
        <f t="shared" si="4"/>
        <v>0</v>
      </c>
      <c r="K46" s="61">
        <f t="shared" si="8"/>
        <v>-15640</v>
      </c>
      <c r="L46" s="61">
        <f t="shared" si="6"/>
        <v>0</v>
      </c>
      <c r="M46" s="61">
        <f t="shared" si="7"/>
        <v>-71945</v>
      </c>
      <c r="O46" s="61">
        <v>184283.62697550739</v>
      </c>
      <c r="P46" s="75">
        <v>515839.9161822747</v>
      </c>
      <c r="Q46" s="61">
        <v>1159247.9062768018</v>
      </c>
      <c r="S46" s="75">
        <v>-11716.152176499694</v>
      </c>
      <c r="T46" s="61">
        <v>0</v>
      </c>
      <c r="U46" s="75">
        <v>-1864921</v>
      </c>
      <c r="W46" s="75">
        <v>6855747</v>
      </c>
      <c r="X46" s="75"/>
      <c r="Y46" s="75">
        <v>636436.95462769957</v>
      </c>
      <c r="AA46" s="49"/>
    </row>
    <row r="47" spans="1:27" ht="20.100000000000001" customHeight="1" x14ac:dyDescent="0.25">
      <c r="A47" s="56">
        <v>141</v>
      </c>
      <c r="B47" s="79" t="s">
        <v>144</v>
      </c>
      <c r="C47" s="58">
        <f>'MFPRSI Supplemental Info 2014'!D47</f>
        <v>3.0993608241631594E-3</v>
      </c>
      <c r="D47" s="58">
        <v>3.2883821419426211E-3</v>
      </c>
      <c r="E47" s="75">
        <f>'MFPRSI Supplemental Info 2014'!W47</f>
        <v>1123513</v>
      </c>
      <c r="F47" s="75">
        <f t="shared" si="1"/>
        <v>1192033</v>
      </c>
      <c r="G47" s="75">
        <f t="shared" si="0"/>
        <v>68520</v>
      </c>
      <c r="H47" s="75">
        <f t="shared" si="2"/>
        <v>262245</v>
      </c>
      <c r="I47" s="75">
        <f t="shared" si="3"/>
        <v>262245</v>
      </c>
      <c r="J47" s="75">
        <f t="shared" si="4"/>
        <v>0</v>
      </c>
      <c r="K47" s="61">
        <f t="shared" si="8"/>
        <v>12236</v>
      </c>
      <c r="L47" s="61">
        <f t="shared" si="6"/>
        <v>56284</v>
      </c>
      <c r="M47" s="61">
        <f t="shared" si="7"/>
        <v>0</v>
      </c>
      <c r="O47" s="61">
        <v>41527.9619605115</v>
      </c>
      <c r="P47" s="75">
        <v>116243.53594786829</v>
      </c>
      <c r="Q47" s="61">
        <v>261234.29272999894</v>
      </c>
      <c r="S47" s="75">
        <v>-2640.2124263264532</v>
      </c>
      <c r="T47" s="61">
        <v>0</v>
      </c>
      <c r="U47" s="75">
        <v>-420256</v>
      </c>
      <c r="W47" s="75">
        <v>1544928</v>
      </c>
      <c r="X47" s="75"/>
      <c r="Y47" s="75">
        <v>143419.84730719251</v>
      </c>
      <c r="AA47" s="49"/>
    </row>
    <row r="48" spans="1:27" ht="20.100000000000001" customHeight="1" x14ac:dyDescent="0.25">
      <c r="A48" s="56">
        <v>142</v>
      </c>
      <c r="B48" s="73" t="s">
        <v>145</v>
      </c>
      <c r="C48" s="58">
        <f>'MFPRSI Supplemental Info 2014'!D48</f>
        <v>6.4715840660402313E-2</v>
      </c>
      <c r="D48" s="58">
        <v>6.3433605634121065E-2</v>
      </c>
      <c r="E48" s="75">
        <f>'MFPRSI Supplemental Info 2014'!W48</f>
        <v>23459379</v>
      </c>
      <c r="F48" s="75">
        <f t="shared" si="1"/>
        <v>22994571</v>
      </c>
      <c r="G48" s="75">
        <f t="shared" si="0"/>
        <v>-464808</v>
      </c>
      <c r="H48" s="75">
        <f t="shared" si="2"/>
        <v>5058763</v>
      </c>
      <c r="I48" s="75">
        <f t="shared" si="3"/>
        <v>5058763</v>
      </c>
      <c r="J48" s="75">
        <f t="shared" si="4"/>
        <v>0</v>
      </c>
      <c r="K48" s="61">
        <f t="shared" si="8"/>
        <v>-83001</v>
      </c>
      <c r="L48" s="61">
        <f t="shared" si="6"/>
        <v>0</v>
      </c>
      <c r="M48" s="61">
        <f t="shared" si="7"/>
        <v>-381807</v>
      </c>
      <c r="O48" s="61">
        <v>801083.40456917405</v>
      </c>
      <c r="P48" s="75">
        <v>2242363.0522688557</v>
      </c>
      <c r="Q48" s="61">
        <v>5039266.2372731129</v>
      </c>
      <c r="S48" s="75">
        <v>-50930.271061185093</v>
      </c>
      <c r="T48" s="61">
        <v>0</v>
      </c>
      <c r="U48" s="75">
        <v>-8106835</v>
      </c>
      <c r="W48" s="75">
        <v>29802019</v>
      </c>
      <c r="X48" s="75"/>
      <c r="Y48" s="75">
        <v>2766600.0000887532</v>
      </c>
      <c r="AA48" s="49"/>
    </row>
    <row r="49" spans="1:27" ht="20.100000000000001" customHeight="1" x14ac:dyDescent="0.25">
      <c r="A49" s="56">
        <v>143</v>
      </c>
      <c r="B49" s="73" t="s">
        <v>146</v>
      </c>
      <c r="C49" s="58">
        <f>'MFPRSI Supplemental Info 2014'!D49</f>
        <v>5.0431459137678953E-3</v>
      </c>
      <c r="D49" s="58">
        <v>4.9503226644646561E-3</v>
      </c>
      <c r="E49" s="75">
        <f>'MFPRSI Supplemental Info 2014'!W49</f>
        <v>1828132</v>
      </c>
      <c r="F49" s="75">
        <f t="shared" si="1"/>
        <v>1794483</v>
      </c>
      <c r="G49" s="75">
        <f t="shared" si="0"/>
        <v>-33649</v>
      </c>
      <c r="H49" s="75">
        <f t="shared" si="2"/>
        <v>394783</v>
      </c>
      <c r="I49" s="75">
        <f t="shared" si="3"/>
        <v>394783</v>
      </c>
      <c r="J49" s="75">
        <f t="shared" si="4"/>
        <v>0</v>
      </c>
      <c r="K49" s="61">
        <f t="shared" si="8"/>
        <v>-6009</v>
      </c>
      <c r="L49" s="61">
        <f t="shared" si="6"/>
        <v>0</v>
      </c>
      <c r="M49" s="61">
        <f t="shared" si="7"/>
        <v>-27640</v>
      </c>
      <c r="O49" s="61">
        <v>62516.095279820824</v>
      </c>
      <c r="P49" s="75">
        <v>174992.74286299944</v>
      </c>
      <c r="Q49" s="61">
        <v>393261.48367681814</v>
      </c>
      <c r="S49" s="75">
        <v>-3974.5695143946923</v>
      </c>
      <c r="T49" s="61">
        <v>0</v>
      </c>
      <c r="U49" s="75">
        <v>-632652</v>
      </c>
      <c r="W49" s="75">
        <v>2325731</v>
      </c>
      <c r="X49" s="75"/>
      <c r="Y49" s="75">
        <v>215903.89742216395</v>
      </c>
      <c r="AA49" s="49"/>
    </row>
    <row r="50" spans="1:27" ht="20.100000000000001" customHeight="1" x14ac:dyDescent="0.25">
      <c r="A50" s="56">
        <v>144</v>
      </c>
      <c r="B50" s="73" t="s">
        <v>147</v>
      </c>
      <c r="C50" s="58">
        <f>'MFPRSI Supplemental Info 2014'!D50</f>
        <v>3.744975550767104E-3</v>
      </c>
      <c r="D50" s="58">
        <v>3.7970409212821792E-3</v>
      </c>
      <c r="E50" s="75">
        <f>'MFPRSI Supplemental Info 2014'!W50</f>
        <v>1357547</v>
      </c>
      <c r="F50" s="75">
        <f t="shared" si="1"/>
        <v>1376421</v>
      </c>
      <c r="G50" s="75">
        <f t="shared" si="0"/>
        <v>18874</v>
      </c>
      <c r="H50" s="75">
        <f t="shared" si="2"/>
        <v>302810</v>
      </c>
      <c r="I50" s="75">
        <f t="shared" si="3"/>
        <v>302810</v>
      </c>
      <c r="J50" s="75">
        <f t="shared" si="4"/>
        <v>0</v>
      </c>
      <c r="K50" s="61">
        <f t="shared" si="8"/>
        <v>3370</v>
      </c>
      <c r="L50" s="61">
        <f t="shared" si="6"/>
        <v>15504</v>
      </c>
      <c r="M50" s="61">
        <f t="shared" si="7"/>
        <v>0</v>
      </c>
      <c r="O50" s="61">
        <v>47951.656509227963</v>
      </c>
      <c r="P50" s="75">
        <v>134224.50426270853</v>
      </c>
      <c r="Q50" s="61">
        <v>301642.95289355749</v>
      </c>
      <c r="S50" s="75">
        <v>-3048.6099823291702</v>
      </c>
      <c r="T50" s="61">
        <v>0</v>
      </c>
      <c r="U50" s="75">
        <v>-485263</v>
      </c>
      <c r="W50" s="75">
        <v>1783904</v>
      </c>
      <c r="X50" s="75"/>
      <c r="Y50" s="75">
        <v>165604.54522713862</v>
      </c>
      <c r="AA50" s="49"/>
    </row>
    <row r="51" spans="1:27" ht="20.100000000000001" customHeight="1" x14ac:dyDescent="0.25">
      <c r="A51" s="56">
        <v>145</v>
      </c>
      <c r="B51" s="73" t="s">
        <v>148</v>
      </c>
      <c r="C51" s="58">
        <f>'MFPRSI Supplemental Info 2014'!D51</f>
        <v>1.8092471515386233E-2</v>
      </c>
      <c r="D51" s="58">
        <v>1.8926532982386991E-2</v>
      </c>
      <c r="E51" s="75">
        <f>'MFPRSI Supplemental Info 2014'!W51</f>
        <v>6558490</v>
      </c>
      <c r="F51" s="75">
        <f t="shared" si="1"/>
        <v>6860835</v>
      </c>
      <c r="G51" s="75">
        <f t="shared" si="0"/>
        <v>302345</v>
      </c>
      <c r="H51" s="75">
        <f t="shared" si="2"/>
        <v>1509371</v>
      </c>
      <c r="I51" s="75">
        <f t="shared" si="3"/>
        <v>1509371</v>
      </c>
      <c r="J51" s="75">
        <f t="shared" si="4"/>
        <v>0</v>
      </c>
      <c r="K51" s="61">
        <f t="shared" si="8"/>
        <v>53990</v>
      </c>
      <c r="L51" s="61">
        <f t="shared" si="6"/>
        <v>248355</v>
      </c>
      <c r="M51" s="61">
        <f t="shared" si="7"/>
        <v>0</v>
      </c>
      <c r="O51" s="61">
        <v>239017.33673587375</v>
      </c>
      <c r="P51" s="75">
        <v>669048.4931921293</v>
      </c>
      <c r="Q51" s="61">
        <v>1503553.7976021327</v>
      </c>
      <c r="S51" s="75">
        <v>-15195.942992761673</v>
      </c>
      <c r="T51" s="61">
        <v>0</v>
      </c>
      <c r="U51" s="75">
        <v>-2418817</v>
      </c>
      <c r="W51" s="75">
        <v>8891955</v>
      </c>
      <c r="X51" s="75"/>
      <c r="Y51" s="75">
        <v>825463.81570632232</v>
      </c>
      <c r="AA51" s="49"/>
    </row>
    <row r="52" spans="1:27" ht="20.100000000000001" customHeight="1" x14ac:dyDescent="0.25">
      <c r="A52" s="56">
        <v>146</v>
      </c>
      <c r="B52" s="73" t="s">
        <v>149</v>
      </c>
      <c r="C52" s="58">
        <f>'MFPRSI Supplemental Info 2014'!D52</f>
        <v>5.7205204023024966E-2</v>
      </c>
      <c r="D52" s="58">
        <v>5.7245348066870302E-2</v>
      </c>
      <c r="E52" s="75">
        <f>'MFPRSI Supplemental Info 2014'!W52</f>
        <v>20736787</v>
      </c>
      <c r="F52" s="75">
        <f t="shared" si="1"/>
        <v>20751339</v>
      </c>
      <c r="G52" s="75">
        <f t="shared" si="0"/>
        <v>14552</v>
      </c>
      <c r="H52" s="75">
        <f t="shared" si="2"/>
        <v>4565256</v>
      </c>
      <c r="I52" s="75">
        <f t="shared" si="3"/>
        <v>4565256</v>
      </c>
      <c r="J52" s="75">
        <f t="shared" si="4"/>
        <v>0</v>
      </c>
      <c r="K52" s="61">
        <f t="shared" si="8"/>
        <v>2599</v>
      </c>
      <c r="L52" s="61">
        <f t="shared" si="6"/>
        <v>11953</v>
      </c>
      <c r="M52" s="61">
        <f t="shared" si="7"/>
        <v>0</v>
      </c>
      <c r="O52" s="61">
        <v>722933.81192395242</v>
      </c>
      <c r="P52" s="75">
        <v>2023609.6015070695</v>
      </c>
      <c r="Q52" s="61">
        <v>4547661.2415542109</v>
      </c>
      <c r="S52" s="75">
        <v>-45961.774754757564</v>
      </c>
      <c r="T52" s="61">
        <v>0</v>
      </c>
      <c r="U52" s="75">
        <v>-7315974</v>
      </c>
      <c r="W52" s="75">
        <v>26894686</v>
      </c>
      <c r="X52" s="75"/>
      <c r="Y52" s="75">
        <v>2496704.6785953767</v>
      </c>
      <c r="AA52" s="49"/>
    </row>
    <row r="53" spans="1:27" ht="20.100000000000001" customHeight="1" x14ac:dyDescent="0.25">
      <c r="A53" s="56">
        <v>147</v>
      </c>
      <c r="B53" s="73" t="s">
        <v>150</v>
      </c>
      <c r="C53" s="58">
        <f>'MFPRSI Supplemental Info 2014'!D53</f>
        <v>3.6468695365889934E-3</v>
      </c>
      <c r="D53" s="58">
        <v>3.6046872746639414E-3</v>
      </c>
      <c r="E53" s="75">
        <f>'MFPRSI Supplemental Info 2014'!W53</f>
        <v>1321984</v>
      </c>
      <c r="F53" s="75">
        <f t="shared" si="1"/>
        <v>1306693</v>
      </c>
      <c r="G53" s="75">
        <f t="shared" si="0"/>
        <v>-15291</v>
      </c>
      <c r="H53" s="75">
        <f t="shared" si="2"/>
        <v>287470</v>
      </c>
      <c r="I53" s="75">
        <f t="shared" si="3"/>
        <v>287470</v>
      </c>
      <c r="J53" s="75">
        <f t="shared" si="4"/>
        <v>0</v>
      </c>
      <c r="K53" s="61">
        <f t="shared" si="8"/>
        <v>-2731</v>
      </c>
      <c r="L53" s="61">
        <f t="shared" si="6"/>
        <v>0</v>
      </c>
      <c r="M53" s="61">
        <f t="shared" si="7"/>
        <v>-12560</v>
      </c>
      <c r="O53" s="61">
        <v>45522.481743363045</v>
      </c>
      <c r="P53" s="75">
        <v>127424.84805786079</v>
      </c>
      <c r="Q53" s="61">
        <v>286362.07413332112</v>
      </c>
      <c r="S53" s="75">
        <v>-2894.1709706422066</v>
      </c>
      <c r="T53" s="61">
        <v>0</v>
      </c>
      <c r="U53" s="75">
        <v>-460681</v>
      </c>
      <c r="W53" s="75">
        <v>1693535</v>
      </c>
      <c r="X53" s="75"/>
      <c r="Y53" s="75">
        <v>157215.21289404426</v>
      </c>
      <c r="AA53" s="49"/>
    </row>
    <row r="54" spans="1:27" ht="20.100000000000001" customHeight="1" x14ac:dyDescent="0.25">
      <c r="A54" s="56">
        <v>148</v>
      </c>
      <c r="B54" s="73" t="s">
        <v>151</v>
      </c>
      <c r="C54" s="58">
        <f>'MFPRSI Supplemental Info 2014'!D54</f>
        <v>3.1191221088193092E-3</v>
      </c>
      <c r="D54" s="58">
        <v>2.8125764626121754E-3</v>
      </c>
      <c r="E54" s="75">
        <f>'MFPRSI Supplemental Info 2014'!W54</f>
        <v>1130677</v>
      </c>
      <c r="F54" s="75">
        <f t="shared" si="1"/>
        <v>1019554</v>
      </c>
      <c r="G54" s="75">
        <f t="shared" si="0"/>
        <v>-111123</v>
      </c>
      <c r="H54" s="75">
        <f t="shared" si="2"/>
        <v>224300</v>
      </c>
      <c r="I54" s="75">
        <f t="shared" si="3"/>
        <v>224300</v>
      </c>
      <c r="J54" s="75">
        <f t="shared" si="4"/>
        <v>0</v>
      </c>
      <c r="K54" s="61">
        <f t="shared" si="8"/>
        <v>-19843</v>
      </c>
      <c r="L54" s="61">
        <f t="shared" si="6"/>
        <v>0</v>
      </c>
      <c r="M54" s="61">
        <f t="shared" si="7"/>
        <v>-91280</v>
      </c>
      <c r="O54" s="61">
        <v>35519.159060202219</v>
      </c>
      <c r="P54" s="75">
        <v>99423.916997871682</v>
      </c>
      <c r="Q54" s="61">
        <v>223435.53493618092</v>
      </c>
      <c r="S54" s="75">
        <v>-2258.192328643152</v>
      </c>
      <c r="T54" s="61">
        <v>0</v>
      </c>
      <c r="U54" s="75">
        <v>-359449</v>
      </c>
      <c r="W54" s="75">
        <v>1321390</v>
      </c>
      <c r="X54" s="75"/>
      <c r="Y54" s="75">
        <v>122668.00797347246</v>
      </c>
      <c r="AA54" s="49"/>
    </row>
    <row r="55" spans="1:27" ht="19.5" customHeight="1" x14ac:dyDescent="0.25">
      <c r="A55" s="56">
        <v>149</v>
      </c>
      <c r="B55" s="73" t="s">
        <v>152</v>
      </c>
      <c r="C55" s="58">
        <f>'MFPRSI Supplemental Info 2014'!D55</f>
        <v>3.1260783626260578E-2</v>
      </c>
      <c r="D55" s="58">
        <v>3.1567440335854985E-2</v>
      </c>
      <c r="E55" s="75">
        <f>'MFPRSI Supplemental Info 2014'!W55</f>
        <v>11331979</v>
      </c>
      <c r="F55" s="75">
        <f t="shared" si="1"/>
        <v>11443142</v>
      </c>
      <c r="G55" s="75">
        <f t="shared" si="0"/>
        <v>111163</v>
      </c>
      <c r="H55" s="75">
        <f t="shared" si="2"/>
        <v>2517470</v>
      </c>
      <c r="I55" s="75">
        <f t="shared" si="3"/>
        <v>2517470</v>
      </c>
      <c r="J55" s="75">
        <f t="shared" si="4"/>
        <v>0</v>
      </c>
      <c r="K55" s="61">
        <f t="shared" si="8"/>
        <v>19851</v>
      </c>
      <c r="L55" s="61">
        <f t="shared" si="6"/>
        <v>91312</v>
      </c>
      <c r="M55" s="61">
        <f t="shared" si="7"/>
        <v>0</v>
      </c>
      <c r="O55" s="61">
        <v>398655.44966244884</v>
      </c>
      <c r="P55" s="75">
        <v>1115901.5975239947</v>
      </c>
      <c r="Q55" s="61">
        <v>2507767.5262406925</v>
      </c>
      <c r="S55" s="75">
        <v>-25345.213738694943</v>
      </c>
      <c r="T55" s="61">
        <v>0</v>
      </c>
      <c r="U55" s="75">
        <v>-4034329</v>
      </c>
      <c r="W55" s="75">
        <v>14830836</v>
      </c>
      <c r="X55" s="75"/>
      <c r="Y55" s="75">
        <v>1376785.6889566549</v>
      </c>
      <c r="AA55" s="49"/>
    </row>
    <row r="56" spans="1:27" x14ac:dyDescent="0.25">
      <c r="E56" s="74"/>
      <c r="U56" s="75"/>
      <c r="W56" s="61"/>
      <c r="X56" s="61"/>
      <c r="Y56" s="75"/>
    </row>
    <row r="57" spans="1:27" x14ac:dyDescent="0.25">
      <c r="C57" s="80">
        <f t="shared" ref="C57:I57" si="9">SUM(C7:C56)</f>
        <v>1</v>
      </c>
      <c r="D57" s="80">
        <f t="shared" si="9"/>
        <v>0.99999999999999967</v>
      </c>
      <c r="E57" s="75">
        <f>SUM(E7:E56)+E61</f>
        <v>362498253</v>
      </c>
      <c r="F57" s="75">
        <f>SUM(F7:F56)+F61</f>
        <v>362498253</v>
      </c>
      <c r="H57" s="74">
        <f t="shared" si="9"/>
        <v>79748943</v>
      </c>
      <c r="I57" s="74">
        <f t="shared" si="9"/>
        <v>79748943</v>
      </c>
      <c r="J57" s="59">
        <f>SUM(J7:J56)</f>
        <v>0</v>
      </c>
      <c r="K57" s="59"/>
      <c r="L57" s="75">
        <f t="shared" ref="L57" si="10">SUM(L7:L56)</f>
        <v>2261093</v>
      </c>
      <c r="M57" s="75">
        <f>SUM(M7:M56)</f>
        <v>-2261096</v>
      </c>
      <c r="O57" s="75">
        <f>SUM(O7:O56)</f>
        <v>12628691</v>
      </c>
      <c r="P57" s="75">
        <f>SUM(P7:P56)</f>
        <v>35349764.999999993</v>
      </c>
      <c r="Q57" s="75">
        <f>SUM(Q7:Q56)</f>
        <v>79441585.999999985</v>
      </c>
      <c r="S57" s="75">
        <f>SUM(S7:S56)</f>
        <v>-802891</v>
      </c>
      <c r="T57" s="75">
        <f>SUM(T7:T56)</f>
        <v>0</v>
      </c>
      <c r="U57" s="75">
        <f>SUM(U7:U56)+U61</f>
        <v>-127800316</v>
      </c>
      <c r="V57" s="75"/>
      <c r="W57" s="75">
        <f>SUM(W7:W56)+W61</f>
        <v>469814329</v>
      </c>
      <c r="X57" s="75"/>
      <c r="Y57" s="75">
        <f>SUM(Y7:Y56)+Y61</f>
        <v>43614106.000000007</v>
      </c>
    </row>
    <row r="58" spans="1:27" x14ac:dyDescent="0.25">
      <c r="C58" s="80"/>
      <c r="D58" s="80"/>
      <c r="E58" s="75"/>
      <c r="F58" s="75"/>
      <c r="H58" s="74"/>
      <c r="K58" s="59"/>
      <c r="L58" s="75"/>
      <c r="M58" s="75"/>
      <c r="O58" s="75"/>
      <c r="P58" s="75"/>
      <c r="Q58" s="75"/>
      <c r="S58" s="75"/>
      <c r="T58" s="75"/>
      <c r="U58" s="75"/>
      <c r="V58" s="75"/>
      <c r="W58" s="75"/>
      <c r="X58" s="75"/>
      <c r="Y58" s="75"/>
    </row>
    <row r="59" spans="1:27" x14ac:dyDescent="0.25">
      <c r="E59" s="75"/>
      <c r="F59" s="75"/>
      <c r="K59" s="59"/>
      <c r="L59" s="75"/>
      <c r="M59" s="75"/>
      <c r="O59" t="s">
        <v>60</v>
      </c>
      <c r="P59" s="60"/>
      <c r="Q59" s="80"/>
      <c r="R59" s="80"/>
      <c r="S59" s="74"/>
      <c r="T59" s="74"/>
      <c r="U59" s="59">
        <v>5.6</v>
      </c>
      <c r="V59" s="44" t="s">
        <v>61</v>
      </c>
      <c r="W59" s="75"/>
      <c r="X59" s="75"/>
      <c r="Y59" s="75"/>
    </row>
    <row r="60" spans="1:27" x14ac:dyDescent="0.25">
      <c r="E60" s="60"/>
      <c r="F60" s="60"/>
      <c r="U60" s="75"/>
    </row>
    <row r="61" spans="1:27" x14ac:dyDescent="0.25">
      <c r="B61" s="60" t="s">
        <v>153</v>
      </c>
      <c r="E61" s="60">
        <v>-1</v>
      </c>
      <c r="F61" s="60">
        <v>1</v>
      </c>
      <c r="G61" s="59">
        <v>2</v>
      </c>
      <c r="K61" s="60">
        <v>-1</v>
      </c>
      <c r="U61" s="75"/>
      <c r="W61" s="60">
        <v>0</v>
      </c>
      <c r="Y61" s="60">
        <v>0</v>
      </c>
    </row>
  </sheetData>
  <sheetProtection algorithmName="SHA-512" hashValue="8jISSS4pOihC3RlOtxb6/bAExvxsxyzMsc3dcIc6MDoBJBd1bVK8E40xO2Fk/gu0SATcvcn2X6o/O1zZockDjQ==" saltValue="meJososjBeshrZzvsMij2Q==" spinCount="100000" sheet="1" objects="1" scenarios="1"/>
  <mergeCells count="3">
    <mergeCell ref="K3:M3"/>
    <mergeCell ref="O3:Q3"/>
    <mergeCell ref="S3:U3"/>
  </mergeCells>
  <pageMargins left="0.5" right="0.25" top="1" bottom="0.5" header="0.3" footer="0.3"/>
  <pageSetup orientation="landscape" r:id="rId1"/>
  <headerFooter>
    <oddHeader>&amp;L&amp;"-,Bold"&amp;14MUNICIPAL FIRE AND POLICE RETIREMENT SYSTEM OF IOWA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workbookViewId="0">
      <pane ySplit="6" topLeftCell="A43" activePane="bottomLeft" state="frozen"/>
      <selection pane="bottomLeft" activeCell="U57" sqref="U57"/>
    </sheetView>
  </sheetViews>
  <sheetFormatPr defaultRowHeight="15" x14ac:dyDescent="0.25"/>
  <cols>
    <col min="1" max="1" width="3.5703125" style="56" bestFit="1" customWidth="1"/>
    <col min="2" max="2" width="15" style="60" bestFit="1" customWidth="1"/>
    <col min="3" max="3" width="10.7109375" style="58" bestFit="1" customWidth="1"/>
    <col min="4" max="4" width="10.7109375" style="59" bestFit="1" customWidth="1"/>
    <col min="5" max="5" width="11.140625" style="59" bestFit="1" customWidth="1"/>
    <col min="6" max="6" width="10.7109375" style="59" bestFit="1" customWidth="1"/>
    <col min="7" max="7" width="9.7109375" style="59" bestFit="1" customWidth="1"/>
    <col min="8" max="9" width="9.85546875" style="59" bestFit="1" customWidth="1"/>
    <col min="10" max="10" width="11.140625" style="59" customWidth="1"/>
    <col min="11" max="11" width="8.7109375" style="60" bestFit="1" customWidth="1"/>
    <col min="12" max="12" width="9.28515625" style="60" bestFit="1" customWidth="1"/>
    <col min="13" max="13" width="9.7109375" style="60" bestFit="1" customWidth="1"/>
    <col min="14" max="14" width="1.7109375" style="60" customWidth="1"/>
    <col min="15" max="15" width="10.7109375" style="60" bestFit="1" customWidth="1"/>
    <col min="16" max="16" width="12.42578125" style="61" bestFit="1" customWidth="1"/>
    <col min="17" max="17" width="9.28515625" style="60" bestFit="1" customWidth="1"/>
    <col min="18" max="18" width="2.7109375" style="60" customWidth="1"/>
    <col min="19" max="19" width="10.7109375" style="60" bestFit="1" customWidth="1"/>
    <col min="20" max="20" width="11.7109375" style="60" customWidth="1"/>
    <col min="21" max="21" width="12.7109375" style="60" bestFit="1" customWidth="1"/>
    <col min="22" max="22" width="2.7109375" style="60" customWidth="1"/>
    <col min="23" max="23" width="12.7109375" style="60" bestFit="1" customWidth="1"/>
    <col min="24" max="24" width="2.7109375" style="60" customWidth="1"/>
    <col min="25" max="25" width="11.140625" style="60" bestFit="1" customWidth="1"/>
  </cols>
  <sheetData>
    <row r="1" spans="1:25" x14ac:dyDescent="0.25">
      <c r="B1" s="57" t="s">
        <v>157</v>
      </c>
      <c r="O1" s="57" t="s">
        <v>158</v>
      </c>
    </row>
    <row r="3" spans="1:25" x14ac:dyDescent="0.25">
      <c r="H3" s="62" t="s">
        <v>78</v>
      </c>
      <c r="K3" s="160" t="s">
        <v>79</v>
      </c>
      <c r="L3" s="160"/>
      <c r="M3" s="160"/>
      <c r="O3" s="161" t="s">
        <v>27</v>
      </c>
      <c r="P3" s="161"/>
      <c r="Q3" s="161"/>
      <c r="S3" s="161" t="s">
        <v>30</v>
      </c>
      <c r="T3" s="161"/>
      <c r="U3" s="161"/>
    </row>
    <row r="4" spans="1:25" x14ac:dyDescent="0.25">
      <c r="C4" s="64">
        <v>41455</v>
      </c>
      <c r="D4" s="64">
        <v>41820</v>
      </c>
      <c r="E4" s="64">
        <v>41455</v>
      </c>
      <c r="G4" s="62" t="s">
        <v>80</v>
      </c>
      <c r="H4" s="62" t="s">
        <v>49</v>
      </c>
      <c r="I4" s="62" t="s">
        <v>49</v>
      </c>
      <c r="J4" s="62" t="s">
        <v>81</v>
      </c>
      <c r="O4" s="62" t="s">
        <v>82</v>
      </c>
      <c r="Q4" s="62" t="s">
        <v>83</v>
      </c>
      <c r="R4" s="62"/>
      <c r="S4" s="62" t="s">
        <v>82</v>
      </c>
      <c r="U4" s="62" t="s">
        <v>83</v>
      </c>
      <c r="V4" s="62"/>
      <c r="W4" s="62" t="s">
        <v>159</v>
      </c>
      <c r="X4" s="62"/>
      <c r="Y4" s="56" t="s">
        <v>84</v>
      </c>
    </row>
    <row r="5" spans="1:25" x14ac:dyDescent="0.25">
      <c r="A5" s="56" t="s">
        <v>154</v>
      </c>
      <c r="C5" s="65" t="s">
        <v>85</v>
      </c>
      <c r="D5" s="65" t="s">
        <v>85</v>
      </c>
      <c r="E5" s="62" t="s">
        <v>86</v>
      </c>
      <c r="F5" s="62" t="s">
        <v>87</v>
      </c>
      <c r="G5" s="62" t="s">
        <v>85</v>
      </c>
      <c r="H5" s="62" t="s">
        <v>88</v>
      </c>
      <c r="I5" s="62" t="s">
        <v>88</v>
      </c>
      <c r="J5" s="62" t="s">
        <v>89</v>
      </c>
      <c r="K5" s="62" t="s">
        <v>90</v>
      </c>
      <c r="L5" s="56" t="s">
        <v>91</v>
      </c>
      <c r="M5" s="56" t="s">
        <v>91</v>
      </c>
      <c r="O5" s="56" t="s">
        <v>92</v>
      </c>
      <c r="P5" s="66" t="s">
        <v>160</v>
      </c>
      <c r="Q5" s="56" t="s">
        <v>92</v>
      </c>
      <c r="R5" s="56"/>
      <c r="S5" s="56" t="s">
        <v>92</v>
      </c>
      <c r="T5" s="62" t="s">
        <v>160</v>
      </c>
      <c r="U5" s="56" t="s">
        <v>92</v>
      </c>
      <c r="V5" s="56"/>
      <c r="W5" s="62" t="s">
        <v>87</v>
      </c>
      <c r="X5" s="62"/>
      <c r="Y5" s="56" t="s">
        <v>90</v>
      </c>
    </row>
    <row r="6" spans="1:25" ht="20.100000000000001" customHeight="1" x14ac:dyDescent="0.35">
      <c r="A6" s="63" t="s">
        <v>155</v>
      </c>
      <c r="B6" s="67" t="s">
        <v>93</v>
      </c>
      <c r="C6" s="68" t="s">
        <v>94</v>
      </c>
      <c r="D6" s="68" t="s">
        <v>94</v>
      </c>
      <c r="E6" s="69" t="s">
        <v>95</v>
      </c>
      <c r="F6" s="70">
        <v>41455</v>
      </c>
      <c r="G6" s="69" t="s">
        <v>96</v>
      </c>
      <c r="H6" s="69" t="s">
        <v>97</v>
      </c>
      <c r="I6" s="69" t="s">
        <v>97</v>
      </c>
      <c r="J6" s="69" t="s">
        <v>98</v>
      </c>
      <c r="K6" s="69" t="s">
        <v>56</v>
      </c>
      <c r="L6" s="69" t="s">
        <v>99</v>
      </c>
      <c r="M6" s="71" t="s">
        <v>100</v>
      </c>
      <c r="O6" s="71" t="s">
        <v>101</v>
      </c>
      <c r="P6" s="72" t="s">
        <v>102</v>
      </c>
      <c r="Q6" s="71" t="s">
        <v>103</v>
      </c>
      <c r="R6" s="71"/>
      <c r="S6" s="71" t="s">
        <v>101</v>
      </c>
      <c r="T6" s="71" t="s">
        <v>102</v>
      </c>
      <c r="U6" s="71" t="s">
        <v>103</v>
      </c>
      <c r="V6" s="71"/>
      <c r="W6" s="70">
        <v>41820</v>
      </c>
      <c r="X6" s="70"/>
      <c r="Y6" s="71" t="s">
        <v>56</v>
      </c>
    </row>
    <row r="7" spans="1:25" ht="20.100000000000001" customHeight="1" x14ac:dyDescent="0.25">
      <c r="A7" s="56">
        <v>101</v>
      </c>
      <c r="B7" s="73" t="s">
        <v>104</v>
      </c>
      <c r="C7" s="58">
        <v>2.6912900999999999E-2</v>
      </c>
      <c r="D7" s="58">
        <v>2.6844061590719944E-2</v>
      </c>
      <c r="E7" s="74">
        <f t="shared" ref="E7:E23" si="0">ROUND(C7*$F$57,0)</f>
        <v>14908723</v>
      </c>
      <c r="F7" s="75">
        <v>14870589</v>
      </c>
      <c r="G7" s="75">
        <f t="shared" ref="G7:G55" si="1">F7-E7</f>
        <v>-38134</v>
      </c>
      <c r="H7" s="75">
        <f>ROUND(D7*76917460,0)</f>
        <v>2064777</v>
      </c>
      <c r="I7" s="75">
        <v>2064777</v>
      </c>
      <c r="J7" s="75">
        <f>H7-I7</f>
        <v>0</v>
      </c>
      <c r="K7" s="61">
        <f t="shared" ref="K7:K23" si="2">ROUND((G7+J7)/5.6,0)</f>
        <v>-6810</v>
      </c>
      <c r="L7" s="76">
        <f t="shared" ref="L7:L55" si="3">IF(K7&lt;0,0,G7+J7-K7)</f>
        <v>0</v>
      </c>
      <c r="M7" s="61">
        <f t="shared" ref="M7:M55" si="4">IF(G7&lt;0,(G7+J7-K7),0)</f>
        <v>-31324</v>
      </c>
      <c r="O7" s="61">
        <v>0</v>
      </c>
      <c r="P7" s="75">
        <v>719213</v>
      </c>
      <c r="Q7" s="61">
        <v>0</v>
      </c>
      <c r="S7" s="75">
        <v>-27540</v>
      </c>
      <c r="T7" s="61">
        <v>0</v>
      </c>
      <c r="U7" s="75">
        <v>-4574238</v>
      </c>
      <c r="W7" s="75">
        <v>9730925</v>
      </c>
      <c r="X7" s="75"/>
      <c r="Y7" s="75">
        <v>807679</v>
      </c>
    </row>
    <row r="8" spans="1:25" ht="20.100000000000001" customHeight="1" x14ac:dyDescent="0.25">
      <c r="A8" s="56">
        <v>102</v>
      </c>
      <c r="B8" s="73" t="s">
        <v>105</v>
      </c>
      <c r="C8" s="58">
        <v>1.5931008E-2</v>
      </c>
      <c r="D8" s="58">
        <v>1.6611833750079456E-2</v>
      </c>
      <c r="E8" s="74">
        <f t="shared" si="0"/>
        <v>8825172</v>
      </c>
      <c r="F8" s="75">
        <v>9202324</v>
      </c>
      <c r="G8" s="75">
        <f t="shared" si="1"/>
        <v>377152</v>
      </c>
      <c r="H8" s="75">
        <f t="shared" ref="H8:H55" si="5">ROUND(D8*76917460,0)</f>
        <v>1277740</v>
      </c>
      <c r="I8" s="75">
        <v>1277740</v>
      </c>
      <c r="J8" s="75">
        <f t="shared" ref="J8:J55" si="6">H8-I8</f>
        <v>0</v>
      </c>
      <c r="K8" s="61">
        <f t="shared" si="2"/>
        <v>67349</v>
      </c>
      <c r="L8" s="61">
        <f t="shared" si="3"/>
        <v>309803</v>
      </c>
      <c r="M8" s="61">
        <f t="shared" si="4"/>
        <v>0</v>
      </c>
      <c r="O8" s="61">
        <v>0</v>
      </c>
      <c r="P8" s="75">
        <v>445069</v>
      </c>
      <c r="Q8" s="61">
        <v>0</v>
      </c>
      <c r="S8" s="75">
        <v>-17042</v>
      </c>
      <c r="T8" s="61">
        <v>0</v>
      </c>
      <c r="U8" s="75">
        <v>-2830663</v>
      </c>
      <c r="W8" s="75">
        <v>6021760</v>
      </c>
      <c r="X8" s="75"/>
      <c r="Y8" s="75">
        <v>499813</v>
      </c>
    </row>
    <row r="9" spans="1:25" ht="20.100000000000001" customHeight="1" x14ac:dyDescent="0.25">
      <c r="A9" s="56">
        <v>103</v>
      </c>
      <c r="B9" s="73" t="s">
        <v>106</v>
      </c>
      <c r="C9" s="58">
        <v>1.8911649999999999E-2</v>
      </c>
      <c r="D9" s="58">
        <v>1.874664098100411E-2</v>
      </c>
      <c r="E9" s="74">
        <f t="shared" si="0"/>
        <v>10476335</v>
      </c>
      <c r="F9" s="75">
        <v>10384926</v>
      </c>
      <c r="G9" s="75">
        <f t="shared" si="1"/>
        <v>-91409</v>
      </c>
      <c r="H9" s="75">
        <f t="shared" si="5"/>
        <v>1441944</v>
      </c>
      <c r="I9" s="75">
        <v>1441944</v>
      </c>
      <c r="J9" s="75">
        <f t="shared" si="6"/>
        <v>0</v>
      </c>
      <c r="K9" s="61">
        <f t="shared" si="2"/>
        <v>-16323</v>
      </c>
      <c r="L9" s="61">
        <f t="shared" si="3"/>
        <v>0</v>
      </c>
      <c r="M9" s="61">
        <f t="shared" si="4"/>
        <v>-75086</v>
      </c>
      <c r="O9" s="61">
        <v>0</v>
      </c>
      <c r="P9" s="75">
        <v>502265</v>
      </c>
      <c r="Q9" s="61">
        <v>0</v>
      </c>
      <c r="S9" s="75">
        <v>-19232</v>
      </c>
      <c r="T9" s="61">
        <v>0</v>
      </c>
      <c r="U9" s="75">
        <v>-3194436</v>
      </c>
      <c r="W9" s="75">
        <v>6795625</v>
      </c>
      <c r="X9" s="75"/>
      <c r="Y9" s="75">
        <v>564046</v>
      </c>
    </row>
    <row r="10" spans="1:25" ht="20.100000000000001" customHeight="1" x14ac:dyDescent="0.25">
      <c r="A10" s="56">
        <v>104</v>
      </c>
      <c r="B10" s="73" t="s">
        <v>107</v>
      </c>
      <c r="C10" s="58">
        <v>5.7501169999999999E-3</v>
      </c>
      <c r="D10" s="58">
        <v>5.8176918757784522E-3</v>
      </c>
      <c r="E10" s="74">
        <f t="shared" si="0"/>
        <v>3185346</v>
      </c>
      <c r="F10" s="75">
        <v>3222780</v>
      </c>
      <c r="G10" s="75">
        <f t="shared" si="1"/>
        <v>37434</v>
      </c>
      <c r="H10" s="75">
        <f t="shared" si="5"/>
        <v>447482</v>
      </c>
      <c r="I10" s="75">
        <v>447482</v>
      </c>
      <c r="J10" s="75">
        <f t="shared" si="6"/>
        <v>0</v>
      </c>
      <c r="K10" s="61">
        <f t="shared" si="2"/>
        <v>6685</v>
      </c>
      <c r="L10" s="61">
        <f t="shared" si="3"/>
        <v>30749</v>
      </c>
      <c r="M10" s="61">
        <f t="shared" si="4"/>
        <v>0</v>
      </c>
      <c r="O10" s="61">
        <v>0</v>
      </c>
      <c r="P10" s="75">
        <v>155869</v>
      </c>
      <c r="Q10" s="61">
        <v>0</v>
      </c>
      <c r="S10" s="75">
        <v>-5968</v>
      </c>
      <c r="T10" s="61">
        <v>0</v>
      </c>
      <c r="U10" s="75">
        <v>-991337</v>
      </c>
      <c r="W10" s="75">
        <v>2108903</v>
      </c>
      <c r="X10" s="75"/>
      <c r="Y10" s="75">
        <v>175042</v>
      </c>
    </row>
    <row r="11" spans="1:25" ht="20.100000000000001" customHeight="1" x14ac:dyDescent="0.25">
      <c r="A11" s="56">
        <v>105</v>
      </c>
      <c r="B11" s="73" t="s">
        <v>108</v>
      </c>
      <c r="C11" s="58">
        <v>1.8864233000000001E-2</v>
      </c>
      <c r="D11" s="58">
        <v>1.8017704648857651E-2</v>
      </c>
      <c r="E11" s="74">
        <f t="shared" si="0"/>
        <v>10450068</v>
      </c>
      <c r="F11" s="75">
        <v>9981123</v>
      </c>
      <c r="G11" s="75">
        <f t="shared" si="1"/>
        <v>-468945</v>
      </c>
      <c r="H11" s="75">
        <f t="shared" si="5"/>
        <v>1385876</v>
      </c>
      <c r="I11" s="75">
        <v>1385876</v>
      </c>
      <c r="J11" s="75">
        <f t="shared" si="6"/>
        <v>0</v>
      </c>
      <c r="K11" s="61">
        <f t="shared" si="2"/>
        <v>-83740</v>
      </c>
      <c r="L11" s="61">
        <f t="shared" si="3"/>
        <v>0</v>
      </c>
      <c r="M11" s="61">
        <f t="shared" si="4"/>
        <v>-385205</v>
      </c>
      <c r="O11" s="61">
        <v>0</v>
      </c>
      <c r="P11" s="75">
        <v>482735</v>
      </c>
      <c r="Q11" s="61">
        <v>0</v>
      </c>
      <c r="S11" s="75">
        <v>-18485</v>
      </c>
      <c r="T11" s="61">
        <v>0</v>
      </c>
      <c r="U11" s="75">
        <v>-3070224</v>
      </c>
      <c r="W11" s="75">
        <v>6531386</v>
      </c>
      <c r="X11" s="75"/>
      <c r="Y11" s="75">
        <v>542114</v>
      </c>
    </row>
    <row r="12" spans="1:25" ht="20.100000000000001" customHeight="1" x14ac:dyDescent="0.25">
      <c r="A12" s="56">
        <v>106</v>
      </c>
      <c r="B12" s="73" t="s">
        <v>109</v>
      </c>
      <c r="C12" s="58">
        <v>2.4599410000000002E-3</v>
      </c>
      <c r="D12" s="58">
        <v>2.5757743319130173E-3</v>
      </c>
      <c r="E12" s="74">
        <f t="shared" si="0"/>
        <v>1362714</v>
      </c>
      <c r="F12" s="75">
        <v>1426881</v>
      </c>
      <c r="G12" s="75">
        <f t="shared" si="1"/>
        <v>64167</v>
      </c>
      <c r="H12" s="75">
        <f t="shared" si="5"/>
        <v>198122</v>
      </c>
      <c r="I12" s="75">
        <v>198122</v>
      </c>
      <c r="J12" s="75">
        <f t="shared" si="6"/>
        <v>0</v>
      </c>
      <c r="K12" s="61">
        <f t="shared" si="2"/>
        <v>11458</v>
      </c>
      <c r="L12" s="61">
        <f t="shared" si="3"/>
        <v>52709</v>
      </c>
      <c r="M12" s="61">
        <f t="shared" si="4"/>
        <v>0</v>
      </c>
      <c r="O12" s="61">
        <v>0</v>
      </c>
      <c r="P12" s="75">
        <v>69011</v>
      </c>
      <c r="Q12" s="61">
        <v>0</v>
      </c>
      <c r="S12" s="75">
        <v>-2643</v>
      </c>
      <c r="T12" s="61">
        <v>0</v>
      </c>
      <c r="U12" s="75">
        <v>-438913</v>
      </c>
      <c r="W12" s="75">
        <v>933714</v>
      </c>
      <c r="X12" s="75"/>
      <c r="Y12" s="75">
        <v>77499</v>
      </c>
    </row>
    <row r="13" spans="1:25" ht="20.100000000000001" customHeight="1" x14ac:dyDescent="0.25">
      <c r="A13" s="56">
        <v>107</v>
      </c>
      <c r="B13" s="73" t="s">
        <v>110</v>
      </c>
      <c r="C13" s="58">
        <v>2.790233E-3</v>
      </c>
      <c r="D13" s="58">
        <v>2.7818787362549609E-3</v>
      </c>
      <c r="E13" s="74">
        <f t="shared" si="0"/>
        <v>1545683</v>
      </c>
      <c r="F13" s="75">
        <v>1541055</v>
      </c>
      <c r="G13" s="75">
        <f t="shared" si="1"/>
        <v>-4628</v>
      </c>
      <c r="H13" s="75">
        <f t="shared" si="5"/>
        <v>213975</v>
      </c>
      <c r="I13" s="75">
        <v>213975</v>
      </c>
      <c r="J13" s="75">
        <f t="shared" si="6"/>
        <v>0</v>
      </c>
      <c r="K13" s="61">
        <f t="shared" si="2"/>
        <v>-826</v>
      </c>
      <c r="L13" s="61">
        <f t="shared" si="3"/>
        <v>0</v>
      </c>
      <c r="M13" s="61">
        <f t="shared" si="4"/>
        <v>-3802</v>
      </c>
      <c r="O13" s="61">
        <v>0</v>
      </c>
      <c r="P13" s="75">
        <v>74533</v>
      </c>
      <c r="Q13" s="61">
        <v>0</v>
      </c>
      <c r="S13" s="75">
        <v>-2854</v>
      </c>
      <c r="T13" s="61">
        <v>0</v>
      </c>
      <c r="U13" s="75">
        <v>-474033</v>
      </c>
      <c r="W13" s="75">
        <v>1008426</v>
      </c>
      <c r="X13" s="75"/>
      <c r="Y13" s="75">
        <v>83701</v>
      </c>
    </row>
    <row r="14" spans="1:25" ht="20.100000000000001" customHeight="1" x14ac:dyDescent="0.25">
      <c r="A14" s="56">
        <v>108</v>
      </c>
      <c r="B14" s="73" t="s">
        <v>111</v>
      </c>
      <c r="C14" s="58">
        <v>1.7520208999999998E-2</v>
      </c>
      <c r="D14" s="58">
        <v>1.7827707848698297E-2</v>
      </c>
      <c r="E14" s="74">
        <f t="shared" si="0"/>
        <v>9705529</v>
      </c>
      <c r="F14" s="75">
        <v>9875872</v>
      </c>
      <c r="G14" s="75">
        <f t="shared" si="1"/>
        <v>170343</v>
      </c>
      <c r="H14" s="75">
        <f t="shared" si="5"/>
        <v>1371262</v>
      </c>
      <c r="I14" s="75">
        <v>1371262</v>
      </c>
      <c r="J14" s="75">
        <f t="shared" si="6"/>
        <v>0</v>
      </c>
      <c r="K14" s="61">
        <f t="shared" si="2"/>
        <v>30418</v>
      </c>
      <c r="L14" s="61">
        <f t="shared" si="3"/>
        <v>139925</v>
      </c>
      <c r="M14" s="61">
        <f t="shared" si="4"/>
        <v>0</v>
      </c>
      <c r="O14" s="61">
        <v>0</v>
      </c>
      <c r="P14" s="75">
        <v>477644</v>
      </c>
      <c r="Q14" s="61">
        <v>0</v>
      </c>
      <c r="S14" s="75">
        <v>-18290</v>
      </c>
      <c r="T14" s="61">
        <v>0</v>
      </c>
      <c r="U14" s="75">
        <v>-3037849</v>
      </c>
      <c r="W14" s="75">
        <v>6462513</v>
      </c>
      <c r="X14" s="75"/>
      <c r="Y14" s="75">
        <v>536397</v>
      </c>
    </row>
    <row r="15" spans="1:25" ht="20.100000000000001" customHeight="1" x14ac:dyDescent="0.25">
      <c r="A15" s="56">
        <v>109</v>
      </c>
      <c r="B15" s="73" t="s">
        <v>112</v>
      </c>
      <c r="C15" s="58">
        <v>9.2094375000000006E-2</v>
      </c>
      <c r="D15" s="58">
        <v>9.3012964115779778E-2</v>
      </c>
      <c r="E15" s="74">
        <f t="shared" si="0"/>
        <v>51016781</v>
      </c>
      <c r="F15" s="75">
        <v>51525644</v>
      </c>
      <c r="G15" s="75">
        <f t="shared" si="1"/>
        <v>508863</v>
      </c>
      <c r="H15" s="75">
        <f t="shared" si="5"/>
        <v>7154321</v>
      </c>
      <c r="I15" s="75">
        <v>7154321</v>
      </c>
      <c r="J15" s="75">
        <f t="shared" si="6"/>
        <v>0</v>
      </c>
      <c r="K15" s="61">
        <f t="shared" si="2"/>
        <v>90868</v>
      </c>
      <c r="L15" s="61">
        <f t="shared" si="3"/>
        <v>417995</v>
      </c>
      <c r="M15" s="61">
        <f t="shared" si="4"/>
        <v>0</v>
      </c>
      <c r="O15" s="61">
        <v>0</v>
      </c>
      <c r="P15" s="75">
        <v>2492027</v>
      </c>
      <c r="Q15" s="61">
        <v>0</v>
      </c>
      <c r="S15" s="75">
        <v>-95423</v>
      </c>
      <c r="T15" s="61">
        <v>0</v>
      </c>
      <c r="U15" s="75">
        <v>-15849448</v>
      </c>
      <c r="W15" s="75">
        <v>33717037</v>
      </c>
      <c r="X15" s="75"/>
      <c r="Y15" s="75">
        <v>2798558</v>
      </c>
    </row>
    <row r="16" spans="1:25" ht="20.100000000000001" customHeight="1" x14ac:dyDescent="0.25">
      <c r="A16" s="56">
        <v>110</v>
      </c>
      <c r="B16" s="73" t="s">
        <v>113</v>
      </c>
      <c r="C16" s="58">
        <v>2.434659E-3</v>
      </c>
      <c r="D16" s="58">
        <v>2.4090498878135062E-3</v>
      </c>
      <c r="E16" s="74">
        <f t="shared" si="0"/>
        <v>1348708</v>
      </c>
      <c r="F16" s="75">
        <v>1334522</v>
      </c>
      <c r="G16" s="75">
        <f t="shared" si="1"/>
        <v>-14186</v>
      </c>
      <c r="H16" s="75">
        <f t="shared" si="5"/>
        <v>185298</v>
      </c>
      <c r="I16" s="75">
        <v>185298</v>
      </c>
      <c r="J16" s="75">
        <f t="shared" si="6"/>
        <v>0</v>
      </c>
      <c r="K16" s="61">
        <f t="shared" si="2"/>
        <v>-2533</v>
      </c>
      <c r="L16" s="61">
        <f t="shared" si="3"/>
        <v>0</v>
      </c>
      <c r="M16" s="61">
        <f t="shared" si="4"/>
        <v>-11653</v>
      </c>
      <c r="O16" s="61">
        <v>0</v>
      </c>
      <c r="P16" s="75">
        <v>64544</v>
      </c>
      <c r="Q16" s="61">
        <v>0</v>
      </c>
      <c r="S16" s="75">
        <v>-2471</v>
      </c>
      <c r="T16" s="61">
        <v>0</v>
      </c>
      <c r="U16" s="75">
        <v>-410503</v>
      </c>
      <c r="W16" s="75">
        <v>873276</v>
      </c>
      <c r="X16" s="75"/>
      <c r="Y16" s="75">
        <v>72483</v>
      </c>
    </row>
    <row r="17" spans="1:25" ht="20.100000000000001" customHeight="1" x14ac:dyDescent="0.25">
      <c r="A17" s="56">
        <v>111</v>
      </c>
      <c r="B17" s="73" t="s">
        <v>114</v>
      </c>
      <c r="C17" s="58">
        <v>4.0701390000000004E-3</v>
      </c>
      <c r="D17" s="58">
        <v>2.9419456835232051E-3</v>
      </c>
      <c r="E17" s="74">
        <f t="shared" si="0"/>
        <v>2254702</v>
      </c>
      <c r="F17" s="75">
        <v>1629726</v>
      </c>
      <c r="G17" s="75">
        <f t="shared" si="1"/>
        <v>-624976</v>
      </c>
      <c r="H17" s="75">
        <f t="shared" si="5"/>
        <v>226287</v>
      </c>
      <c r="I17" s="75">
        <v>226287</v>
      </c>
      <c r="J17" s="75">
        <f t="shared" si="6"/>
        <v>0</v>
      </c>
      <c r="K17" s="61">
        <f t="shared" si="2"/>
        <v>-111603</v>
      </c>
      <c r="L17" s="61">
        <f t="shared" si="3"/>
        <v>0</v>
      </c>
      <c r="M17" s="61">
        <f t="shared" si="4"/>
        <v>-513373</v>
      </c>
      <c r="O17" s="61">
        <v>0</v>
      </c>
      <c r="P17" s="75">
        <v>78821</v>
      </c>
      <c r="Q17" s="61">
        <v>0</v>
      </c>
      <c r="S17" s="75">
        <v>-3018</v>
      </c>
      <c r="T17" s="61">
        <v>0</v>
      </c>
      <c r="U17" s="75">
        <v>-501309</v>
      </c>
      <c r="W17" s="75">
        <v>1066450</v>
      </c>
      <c r="X17" s="75"/>
      <c r="Y17" s="75">
        <v>88517</v>
      </c>
    </row>
    <row r="18" spans="1:25" ht="20.100000000000001" customHeight="1" x14ac:dyDescent="0.25">
      <c r="A18" s="56">
        <v>112</v>
      </c>
      <c r="B18" s="73" t="s">
        <v>115</v>
      </c>
      <c r="C18" s="58">
        <v>1.9452618000000001E-2</v>
      </c>
      <c r="D18" s="58">
        <v>1.9699636018870977E-2</v>
      </c>
      <c r="E18" s="74">
        <f t="shared" si="0"/>
        <v>10776010</v>
      </c>
      <c r="F18" s="75">
        <v>10912849</v>
      </c>
      <c r="G18" s="75">
        <f t="shared" si="1"/>
        <v>136839</v>
      </c>
      <c r="H18" s="75">
        <f t="shared" si="5"/>
        <v>1515246</v>
      </c>
      <c r="I18" s="75">
        <v>1515246</v>
      </c>
      <c r="J18" s="75">
        <f t="shared" si="6"/>
        <v>0</v>
      </c>
      <c r="K18" s="61">
        <f t="shared" si="2"/>
        <v>24436</v>
      </c>
      <c r="L18" s="61">
        <f t="shared" si="3"/>
        <v>112403</v>
      </c>
      <c r="M18" s="61">
        <f t="shared" si="4"/>
        <v>0</v>
      </c>
      <c r="O18" s="61">
        <v>0</v>
      </c>
      <c r="P18" s="75">
        <v>527798</v>
      </c>
      <c r="Q18" s="61">
        <v>0</v>
      </c>
      <c r="S18" s="75">
        <v>-20210</v>
      </c>
      <c r="T18" s="61">
        <v>0</v>
      </c>
      <c r="U18" s="75">
        <v>-3356826</v>
      </c>
      <c r="W18" s="75">
        <v>7141084</v>
      </c>
      <c r="X18" s="75"/>
      <c r="Y18" s="75">
        <v>592719</v>
      </c>
    </row>
    <row r="19" spans="1:25" ht="20.100000000000001" customHeight="1" x14ac:dyDescent="0.25">
      <c r="A19" s="56">
        <v>113</v>
      </c>
      <c r="B19" s="73" t="s">
        <v>116</v>
      </c>
      <c r="C19" s="58">
        <v>6.1069180000000002E-3</v>
      </c>
      <c r="D19" s="58">
        <v>6.0032407171004293E-3</v>
      </c>
      <c r="E19" s="74">
        <f t="shared" si="0"/>
        <v>3383000</v>
      </c>
      <c r="F19" s="75">
        <v>3325567</v>
      </c>
      <c r="G19" s="75">
        <f t="shared" si="1"/>
        <v>-57433</v>
      </c>
      <c r="H19" s="75">
        <f t="shared" si="5"/>
        <v>461754</v>
      </c>
      <c r="I19" s="75">
        <v>461754</v>
      </c>
      <c r="J19" s="75">
        <f t="shared" si="6"/>
        <v>0</v>
      </c>
      <c r="K19" s="61">
        <f t="shared" si="2"/>
        <v>-10256</v>
      </c>
      <c r="L19" s="61">
        <f t="shared" si="3"/>
        <v>0</v>
      </c>
      <c r="M19" s="61">
        <f t="shared" si="4"/>
        <v>-47177</v>
      </c>
      <c r="O19" s="61">
        <v>0</v>
      </c>
      <c r="P19" s="75">
        <v>160840</v>
      </c>
      <c r="Q19" s="61">
        <v>0</v>
      </c>
      <c r="S19" s="75">
        <v>-6159</v>
      </c>
      <c r="T19" s="61">
        <v>0</v>
      </c>
      <c r="U19" s="75">
        <v>-1022955</v>
      </c>
      <c r="W19" s="75">
        <v>2176164</v>
      </c>
      <c r="X19" s="75"/>
      <c r="Y19" s="75">
        <v>180624</v>
      </c>
    </row>
    <row r="20" spans="1:25" ht="20.100000000000001" customHeight="1" x14ac:dyDescent="0.25">
      <c r="A20" s="56">
        <v>114</v>
      </c>
      <c r="B20" s="73" t="s">
        <v>117</v>
      </c>
      <c r="C20" s="58">
        <v>5.7954240999999997E-2</v>
      </c>
      <c r="D20" s="58">
        <v>5.8249479696675419E-2</v>
      </c>
      <c r="E20" s="74">
        <f t="shared" si="0"/>
        <v>32104445</v>
      </c>
      <c r="F20" s="75">
        <v>32267996</v>
      </c>
      <c r="G20" s="75">
        <f t="shared" si="1"/>
        <v>163551</v>
      </c>
      <c r="H20" s="75">
        <f t="shared" si="5"/>
        <v>4480402</v>
      </c>
      <c r="I20" s="75">
        <v>4480402</v>
      </c>
      <c r="J20" s="75">
        <f t="shared" si="6"/>
        <v>0</v>
      </c>
      <c r="K20" s="61">
        <f t="shared" si="2"/>
        <v>29206</v>
      </c>
      <c r="L20" s="61">
        <f t="shared" si="3"/>
        <v>134345</v>
      </c>
      <c r="M20" s="61">
        <f t="shared" si="4"/>
        <v>0</v>
      </c>
      <c r="O20" s="61">
        <v>0</v>
      </c>
      <c r="P20" s="75">
        <v>1560635</v>
      </c>
      <c r="Q20" s="61">
        <v>0</v>
      </c>
      <c r="S20" s="75">
        <v>-59759</v>
      </c>
      <c r="T20" s="61">
        <v>0</v>
      </c>
      <c r="U20" s="75">
        <v>-9925736</v>
      </c>
      <c r="W20" s="75">
        <v>21115335</v>
      </c>
      <c r="X20" s="75"/>
      <c r="Y20" s="75">
        <v>1752600</v>
      </c>
    </row>
    <row r="21" spans="1:25" ht="20.100000000000001" customHeight="1" x14ac:dyDescent="0.25">
      <c r="A21" s="56">
        <v>115</v>
      </c>
      <c r="B21" s="73" t="s">
        <v>118</v>
      </c>
      <c r="C21" s="58">
        <v>2.962629E-3</v>
      </c>
      <c r="D21" s="58">
        <v>2.8823874424836185E-3</v>
      </c>
      <c r="E21" s="74">
        <f t="shared" si="0"/>
        <v>1641184</v>
      </c>
      <c r="F21" s="75">
        <v>1596733</v>
      </c>
      <c r="G21" s="75">
        <f t="shared" si="1"/>
        <v>-44451</v>
      </c>
      <c r="H21" s="75">
        <f t="shared" si="5"/>
        <v>221706</v>
      </c>
      <c r="I21" s="75">
        <v>221706</v>
      </c>
      <c r="J21" s="75">
        <f t="shared" si="6"/>
        <v>0</v>
      </c>
      <c r="K21" s="61">
        <f t="shared" si="2"/>
        <v>-7938</v>
      </c>
      <c r="L21" s="61">
        <f t="shared" si="3"/>
        <v>0</v>
      </c>
      <c r="M21" s="61">
        <f t="shared" si="4"/>
        <v>-36513</v>
      </c>
      <c r="O21" s="61">
        <v>0</v>
      </c>
      <c r="P21" s="75">
        <v>77226</v>
      </c>
      <c r="Q21" s="61">
        <v>0</v>
      </c>
      <c r="S21" s="75">
        <v>-2957</v>
      </c>
      <c r="T21" s="61">
        <v>0</v>
      </c>
      <c r="U21" s="75">
        <v>-491160</v>
      </c>
      <c r="W21" s="75">
        <v>1044861</v>
      </c>
      <c r="X21" s="75"/>
      <c r="Y21" s="75">
        <v>86725</v>
      </c>
    </row>
    <row r="22" spans="1:25" ht="20.100000000000001" customHeight="1" x14ac:dyDescent="0.25">
      <c r="A22" s="56">
        <v>116</v>
      </c>
      <c r="B22" s="73" t="s">
        <v>119</v>
      </c>
      <c r="C22" s="58">
        <v>8.1588112000000004E-2</v>
      </c>
      <c r="D22" s="58">
        <v>8.2312779956384044E-2</v>
      </c>
      <c r="E22" s="74">
        <f t="shared" si="0"/>
        <v>45196711</v>
      </c>
      <c r="F22" s="75">
        <v>45598149</v>
      </c>
      <c r="G22" s="75">
        <f t="shared" si="1"/>
        <v>401438</v>
      </c>
      <c r="H22" s="75">
        <f t="shared" si="5"/>
        <v>6331290</v>
      </c>
      <c r="I22" s="75">
        <v>6331290</v>
      </c>
      <c r="J22" s="75">
        <f t="shared" si="6"/>
        <v>0</v>
      </c>
      <c r="K22" s="61">
        <f t="shared" si="2"/>
        <v>71685</v>
      </c>
      <c r="L22" s="61">
        <f t="shared" si="3"/>
        <v>329753</v>
      </c>
      <c r="M22" s="61">
        <f t="shared" si="4"/>
        <v>0</v>
      </c>
      <c r="O22" s="61">
        <v>0</v>
      </c>
      <c r="P22" s="75">
        <v>2205346</v>
      </c>
      <c r="Q22" s="61">
        <v>0</v>
      </c>
      <c r="S22" s="75">
        <v>-84446</v>
      </c>
      <c r="T22" s="61">
        <v>0</v>
      </c>
      <c r="U22" s="75">
        <v>-14026133</v>
      </c>
      <c r="W22" s="75">
        <v>29838239</v>
      </c>
      <c r="X22" s="75"/>
      <c r="Y22" s="75">
        <v>2476613</v>
      </c>
    </row>
    <row r="23" spans="1:25" ht="20.100000000000001" customHeight="1" x14ac:dyDescent="0.25">
      <c r="A23" s="56">
        <v>117</v>
      </c>
      <c r="B23" s="73" t="s">
        <v>120</v>
      </c>
      <c r="C23" s="58">
        <v>2.882234E-3</v>
      </c>
      <c r="D23" s="58">
        <v>2.8941409570900122E-3</v>
      </c>
      <c r="E23" s="74">
        <f t="shared" si="0"/>
        <v>1596648</v>
      </c>
      <c r="F23" s="75">
        <v>1603244</v>
      </c>
      <c r="G23" s="75">
        <f t="shared" si="1"/>
        <v>6596</v>
      </c>
      <c r="H23" s="75">
        <f t="shared" si="5"/>
        <v>222610</v>
      </c>
      <c r="I23" s="75">
        <v>222610</v>
      </c>
      <c r="J23" s="75">
        <f t="shared" si="6"/>
        <v>0</v>
      </c>
      <c r="K23" s="61">
        <f t="shared" si="2"/>
        <v>1178</v>
      </c>
      <c r="L23" s="61">
        <f t="shared" si="3"/>
        <v>5418</v>
      </c>
      <c r="M23" s="61">
        <f t="shared" si="4"/>
        <v>0</v>
      </c>
      <c r="O23" s="61">
        <v>0</v>
      </c>
      <c r="P23" s="75">
        <v>77540</v>
      </c>
      <c r="Q23" s="61">
        <v>0</v>
      </c>
      <c r="S23" s="75">
        <v>-2969</v>
      </c>
      <c r="T23" s="61">
        <v>0</v>
      </c>
      <c r="U23" s="75">
        <v>-493163</v>
      </c>
      <c r="W23" s="75">
        <v>1049121</v>
      </c>
      <c r="X23" s="75"/>
      <c r="Y23" s="75">
        <v>87078</v>
      </c>
    </row>
    <row r="24" spans="1:25" ht="20.100000000000001" customHeight="1" x14ac:dyDescent="0.25">
      <c r="A24" s="56">
        <v>118</v>
      </c>
      <c r="B24" s="73" t="s">
        <v>121</v>
      </c>
      <c r="C24" s="58">
        <v>0.184222267</v>
      </c>
      <c r="D24" s="58">
        <v>0.1820457921297596</v>
      </c>
      <c r="E24" s="74">
        <f>ROUND(C24*$F$57,0)+1</f>
        <v>102052129</v>
      </c>
      <c r="F24" s="75">
        <v>100846444</v>
      </c>
      <c r="G24" s="75">
        <f t="shared" si="1"/>
        <v>-1205685</v>
      </c>
      <c r="H24" s="75">
        <f t="shared" si="5"/>
        <v>14002500</v>
      </c>
      <c r="I24" s="75">
        <v>14002500</v>
      </c>
      <c r="J24" s="75">
        <f t="shared" si="6"/>
        <v>0</v>
      </c>
      <c r="K24" s="61">
        <f>ROUND((G24+J24)/5.6,0)+1</f>
        <v>-215300</v>
      </c>
      <c r="L24" s="61">
        <f t="shared" si="3"/>
        <v>0</v>
      </c>
      <c r="M24" s="61">
        <f t="shared" si="4"/>
        <v>-990385</v>
      </c>
      <c r="O24" s="61">
        <v>0</v>
      </c>
      <c r="P24" s="75">
        <v>4877419</v>
      </c>
      <c r="Q24" s="61">
        <v>0</v>
      </c>
      <c r="S24" s="75">
        <v>-186764</v>
      </c>
      <c r="T24" s="61">
        <v>0</v>
      </c>
      <c r="U24" s="75">
        <v>-31020680</v>
      </c>
      <c r="W24" s="75">
        <v>65991282</v>
      </c>
      <c r="X24" s="75"/>
      <c r="Y24" s="75">
        <v>5477363</v>
      </c>
    </row>
    <row r="25" spans="1:25" ht="20.100000000000001" customHeight="1" x14ac:dyDescent="0.25">
      <c r="A25" s="56">
        <v>119</v>
      </c>
      <c r="B25" s="73" t="s">
        <v>122</v>
      </c>
      <c r="C25" s="58">
        <v>2.198906E-3</v>
      </c>
      <c r="D25" s="58">
        <v>2.0695428219122793E-3</v>
      </c>
      <c r="E25" s="74">
        <f t="shared" ref="E25:E55" si="7">ROUND(C25*$F$57,0)</f>
        <v>1218110</v>
      </c>
      <c r="F25" s="75">
        <v>1146448</v>
      </c>
      <c r="G25" s="75">
        <f t="shared" si="1"/>
        <v>-71662</v>
      </c>
      <c r="H25" s="75">
        <f t="shared" si="5"/>
        <v>159184</v>
      </c>
      <c r="I25" s="75">
        <v>159184</v>
      </c>
      <c r="J25" s="75">
        <f t="shared" si="6"/>
        <v>0</v>
      </c>
      <c r="K25" s="61">
        <f t="shared" ref="K25:K55" si="8">ROUND((G25+J25)/5.6,0)</f>
        <v>-12797</v>
      </c>
      <c r="L25" s="61">
        <f t="shared" si="3"/>
        <v>0</v>
      </c>
      <c r="M25" s="61">
        <f t="shared" si="4"/>
        <v>-58865</v>
      </c>
      <c r="O25" s="61">
        <v>0</v>
      </c>
      <c r="P25" s="75">
        <v>55448</v>
      </c>
      <c r="Q25" s="61">
        <v>0</v>
      </c>
      <c r="S25" s="75">
        <v>-2123</v>
      </c>
      <c r="T25" s="61">
        <v>0</v>
      </c>
      <c r="U25" s="75">
        <v>-352651</v>
      </c>
      <c r="W25" s="75">
        <v>750206</v>
      </c>
      <c r="X25" s="75"/>
      <c r="Y25" s="75">
        <v>62268</v>
      </c>
    </row>
    <row r="26" spans="1:25" ht="20.100000000000001" customHeight="1" x14ac:dyDescent="0.25">
      <c r="A26" s="56">
        <v>120</v>
      </c>
      <c r="B26" s="73" t="s">
        <v>123</v>
      </c>
      <c r="C26" s="58">
        <v>5.1047094000000001E-2</v>
      </c>
      <c r="D26" s="58">
        <v>5.0788001669305957E-2</v>
      </c>
      <c r="E26" s="74">
        <f t="shared" si="7"/>
        <v>28278148</v>
      </c>
      <c r="F26" s="75">
        <v>28134621</v>
      </c>
      <c r="G26" s="75">
        <f t="shared" si="1"/>
        <v>-143527</v>
      </c>
      <c r="H26" s="75">
        <f t="shared" si="5"/>
        <v>3906484</v>
      </c>
      <c r="I26" s="75">
        <v>3906484</v>
      </c>
      <c r="J26" s="75">
        <f t="shared" si="6"/>
        <v>0</v>
      </c>
      <c r="K26" s="61">
        <f t="shared" si="8"/>
        <v>-25630</v>
      </c>
      <c r="L26" s="61">
        <f t="shared" si="3"/>
        <v>0</v>
      </c>
      <c r="M26" s="61">
        <f t="shared" si="4"/>
        <v>-117897</v>
      </c>
      <c r="O26" s="61">
        <v>0</v>
      </c>
      <c r="P26" s="75">
        <v>1360725</v>
      </c>
      <c r="Q26" s="61">
        <v>0</v>
      </c>
      <c r="S26" s="75">
        <v>-52104</v>
      </c>
      <c r="T26" s="61">
        <v>0</v>
      </c>
      <c r="U26" s="75">
        <v>-8654297</v>
      </c>
      <c r="W26" s="75">
        <v>18410561</v>
      </c>
      <c r="X26" s="75"/>
      <c r="Y26" s="75">
        <v>1528101</v>
      </c>
    </row>
    <row r="27" spans="1:25" ht="20.100000000000001" customHeight="1" x14ac:dyDescent="0.25">
      <c r="A27" s="56">
        <v>121</v>
      </c>
      <c r="B27" s="73" t="s">
        <v>124</v>
      </c>
      <c r="C27" s="58">
        <v>2.503009E-3</v>
      </c>
      <c r="D27" s="58">
        <v>2.503164653213436E-3</v>
      </c>
      <c r="E27" s="74">
        <f t="shared" si="7"/>
        <v>1386572</v>
      </c>
      <c r="F27" s="75">
        <v>1386658</v>
      </c>
      <c r="G27" s="75">
        <f t="shared" si="1"/>
        <v>86</v>
      </c>
      <c r="H27" s="75">
        <f t="shared" si="5"/>
        <v>192537</v>
      </c>
      <c r="I27" s="75">
        <v>192537</v>
      </c>
      <c r="J27" s="75">
        <f t="shared" si="6"/>
        <v>0</v>
      </c>
      <c r="K27" s="61">
        <f t="shared" si="8"/>
        <v>15</v>
      </c>
      <c r="L27" s="61">
        <f t="shared" si="3"/>
        <v>71</v>
      </c>
      <c r="M27" s="61">
        <f t="shared" si="4"/>
        <v>0</v>
      </c>
      <c r="O27" s="61">
        <v>0</v>
      </c>
      <c r="P27" s="75">
        <v>67065</v>
      </c>
      <c r="Q27" s="61">
        <v>0</v>
      </c>
      <c r="S27" s="75">
        <v>-2568</v>
      </c>
      <c r="T27" s="61">
        <v>0</v>
      </c>
      <c r="U27" s="75">
        <v>-426540</v>
      </c>
      <c r="W27" s="75">
        <v>907392</v>
      </c>
      <c r="X27" s="75"/>
      <c r="Y27" s="75">
        <v>75315</v>
      </c>
    </row>
    <row r="28" spans="1:25" ht="20.100000000000001" customHeight="1" x14ac:dyDescent="0.25">
      <c r="A28" s="56">
        <v>122</v>
      </c>
      <c r="B28" s="73" t="s">
        <v>125</v>
      </c>
      <c r="C28" s="58">
        <v>1.0222289999999999E-3</v>
      </c>
      <c r="D28" s="58">
        <v>1.0326647681139247E-3</v>
      </c>
      <c r="E28" s="74">
        <f t="shared" si="7"/>
        <v>566276</v>
      </c>
      <c r="F28" s="75">
        <v>572057</v>
      </c>
      <c r="G28" s="75">
        <f t="shared" si="1"/>
        <v>5781</v>
      </c>
      <c r="H28" s="75">
        <f t="shared" si="5"/>
        <v>79430</v>
      </c>
      <c r="I28" s="75">
        <v>79430</v>
      </c>
      <c r="J28" s="75">
        <f t="shared" si="6"/>
        <v>0</v>
      </c>
      <c r="K28" s="61">
        <f t="shared" si="8"/>
        <v>1032</v>
      </c>
      <c r="L28" s="61">
        <f t="shared" si="3"/>
        <v>4749</v>
      </c>
      <c r="M28" s="61">
        <f t="shared" si="4"/>
        <v>0</v>
      </c>
      <c r="O28" s="61">
        <v>0</v>
      </c>
      <c r="P28" s="75">
        <v>27668</v>
      </c>
      <c r="Q28" s="61">
        <v>0</v>
      </c>
      <c r="S28" s="75">
        <v>-1059</v>
      </c>
      <c r="T28" s="61">
        <v>0</v>
      </c>
      <c r="U28" s="75">
        <v>-175967</v>
      </c>
      <c r="W28" s="75">
        <v>374339</v>
      </c>
      <c r="X28" s="75"/>
      <c r="Y28" s="75">
        <v>31071</v>
      </c>
    </row>
    <row r="29" spans="1:25" ht="20.100000000000001" customHeight="1" x14ac:dyDescent="0.25">
      <c r="A29" s="56">
        <v>123</v>
      </c>
      <c r="B29" s="73" t="s">
        <v>126</v>
      </c>
      <c r="C29" s="58">
        <v>3.2000470000000001E-3</v>
      </c>
      <c r="D29" s="58">
        <v>3.2123397007037457E-3</v>
      </c>
      <c r="E29" s="74">
        <f t="shared" si="7"/>
        <v>1772704</v>
      </c>
      <c r="F29" s="75">
        <v>1779514</v>
      </c>
      <c r="G29" s="75">
        <f t="shared" si="1"/>
        <v>6810</v>
      </c>
      <c r="H29" s="75">
        <f t="shared" si="5"/>
        <v>247085</v>
      </c>
      <c r="I29" s="75">
        <v>247085</v>
      </c>
      <c r="J29" s="75">
        <f t="shared" si="6"/>
        <v>0</v>
      </c>
      <c r="K29" s="61">
        <f t="shared" si="8"/>
        <v>1216</v>
      </c>
      <c r="L29" s="61">
        <f t="shared" si="3"/>
        <v>5594</v>
      </c>
      <c r="M29" s="61">
        <f t="shared" si="4"/>
        <v>0</v>
      </c>
      <c r="O29" s="61">
        <v>0</v>
      </c>
      <c r="P29" s="75">
        <v>86066</v>
      </c>
      <c r="Q29" s="61">
        <v>0</v>
      </c>
      <c r="S29" s="75">
        <v>-3296</v>
      </c>
      <c r="T29" s="61">
        <v>0</v>
      </c>
      <c r="U29" s="75">
        <v>-547384</v>
      </c>
      <c r="W29" s="75">
        <v>1164467</v>
      </c>
      <c r="X29" s="75"/>
      <c r="Y29" s="75">
        <v>96652</v>
      </c>
    </row>
    <row r="30" spans="1:25" ht="20.100000000000001" customHeight="1" x14ac:dyDescent="0.25">
      <c r="A30" s="56">
        <v>124</v>
      </c>
      <c r="B30" s="73" t="s">
        <v>127</v>
      </c>
      <c r="C30" s="58">
        <v>1.4880348999999999E-2</v>
      </c>
      <c r="D30" s="58">
        <v>1.4805442570812186E-2</v>
      </c>
      <c r="E30" s="74">
        <f t="shared" si="7"/>
        <v>8243147</v>
      </c>
      <c r="F30" s="75">
        <v>8201652</v>
      </c>
      <c r="G30" s="75">
        <f t="shared" si="1"/>
        <v>-41495</v>
      </c>
      <c r="H30" s="75">
        <f t="shared" si="5"/>
        <v>1138797</v>
      </c>
      <c r="I30" s="75">
        <v>1138797</v>
      </c>
      <c r="J30" s="75">
        <f t="shared" si="6"/>
        <v>0</v>
      </c>
      <c r="K30" s="61">
        <f t="shared" si="8"/>
        <v>-7410</v>
      </c>
      <c r="L30" s="61">
        <f t="shared" si="3"/>
        <v>0</v>
      </c>
      <c r="M30" s="61">
        <f t="shared" si="4"/>
        <v>-34085</v>
      </c>
      <c r="O30" s="61">
        <v>0</v>
      </c>
      <c r="P30" s="75">
        <v>396671</v>
      </c>
      <c r="Q30" s="61">
        <v>0</v>
      </c>
      <c r="S30" s="75">
        <v>-15189</v>
      </c>
      <c r="T30" s="61">
        <v>0</v>
      </c>
      <c r="U30" s="75">
        <v>-2522854</v>
      </c>
      <c r="W30" s="75">
        <v>5366947</v>
      </c>
      <c r="X30" s="75"/>
      <c r="Y30" s="75">
        <v>445464</v>
      </c>
    </row>
    <row r="31" spans="1:25" ht="20.100000000000001" customHeight="1" x14ac:dyDescent="0.25">
      <c r="A31" s="56">
        <v>125</v>
      </c>
      <c r="B31" s="73" t="s">
        <v>128</v>
      </c>
      <c r="C31" s="58">
        <v>6.6303159999999998E-3</v>
      </c>
      <c r="D31" s="58">
        <v>6.8337147069923096E-3</v>
      </c>
      <c r="E31" s="74">
        <f t="shared" si="7"/>
        <v>3672943</v>
      </c>
      <c r="F31" s="75">
        <v>3785618</v>
      </c>
      <c r="G31" s="75">
        <f t="shared" si="1"/>
        <v>112675</v>
      </c>
      <c r="H31" s="75">
        <f t="shared" si="5"/>
        <v>525632</v>
      </c>
      <c r="I31" s="75">
        <v>525632</v>
      </c>
      <c r="J31" s="75">
        <f t="shared" si="6"/>
        <v>0</v>
      </c>
      <c r="K31" s="61">
        <f t="shared" si="8"/>
        <v>20121</v>
      </c>
      <c r="L31" s="61">
        <f t="shared" si="3"/>
        <v>92554</v>
      </c>
      <c r="M31" s="61">
        <f t="shared" si="4"/>
        <v>0</v>
      </c>
      <c r="O31" s="61">
        <v>0</v>
      </c>
      <c r="P31" s="75">
        <v>183091</v>
      </c>
      <c r="Q31" s="61">
        <v>0</v>
      </c>
      <c r="S31" s="75">
        <v>-7011</v>
      </c>
      <c r="T31" s="61">
        <v>0</v>
      </c>
      <c r="U31" s="75">
        <v>-1164468</v>
      </c>
      <c r="W31" s="75">
        <v>2477210</v>
      </c>
      <c r="X31" s="75"/>
      <c r="Y31" s="75">
        <v>205612</v>
      </c>
    </row>
    <row r="32" spans="1:25" ht="20.100000000000001" customHeight="1" x14ac:dyDescent="0.25">
      <c r="A32" s="56">
        <v>126</v>
      </c>
      <c r="B32" s="73" t="s">
        <v>129</v>
      </c>
      <c r="C32" s="58">
        <v>3.9844069999999997E-3</v>
      </c>
      <c r="D32" s="58">
        <v>4.0720016152878047E-3</v>
      </c>
      <c r="E32" s="74">
        <f t="shared" si="7"/>
        <v>2207210</v>
      </c>
      <c r="F32" s="75">
        <v>2255734</v>
      </c>
      <c r="G32" s="75">
        <f t="shared" si="1"/>
        <v>48524</v>
      </c>
      <c r="H32" s="75">
        <f t="shared" si="5"/>
        <v>313208</v>
      </c>
      <c r="I32" s="75">
        <v>313208</v>
      </c>
      <c r="J32" s="75">
        <f t="shared" si="6"/>
        <v>0</v>
      </c>
      <c r="K32" s="61">
        <f t="shared" si="8"/>
        <v>8665</v>
      </c>
      <c r="L32" s="61">
        <f t="shared" si="3"/>
        <v>39859</v>
      </c>
      <c r="M32" s="61">
        <f t="shared" si="4"/>
        <v>0</v>
      </c>
      <c r="O32" s="61">
        <v>0</v>
      </c>
      <c r="P32" s="75">
        <v>109098</v>
      </c>
      <c r="Q32" s="61">
        <v>0</v>
      </c>
      <c r="S32" s="75">
        <v>-4178</v>
      </c>
      <c r="T32" s="61">
        <v>0</v>
      </c>
      <c r="U32" s="75">
        <v>-693871</v>
      </c>
      <c r="W32" s="75">
        <v>1476093</v>
      </c>
      <c r="X32" s="75"/>
      <c r="Y32" s="75">
        <v>122518</v>
      </c>
    </row>
    <row r="33" spans="1:25" ht="20.100000000000001" customHeight="1" x14ac:dyDescent="0.25">
      <c r="A33" s="56">
        <v>127</v>
      </c>
      <c r="B33" s="73" t="s">
        <v>130</v>
      </c>
      <c r="C33" s="58">
        <v>4.476636E-3</v>
      </c>
      <c r="D33" s="58">
        <v>4.6781966677311264E-3</v>
      </c>
      <c r="E33" s="74">
        <f t="shared" si="7"/>
        <v>2479886</v>
      </c>
      <c r="F33" s="75">
        <v>2591543</v>
      </c>
      <c r="G33" s="75">
        <f t="shared" si="1"/>
        <v>111657</v>
      </c>
      <c r="H33" s="75">
        <f t="shared" si="5"/>
        <v>359835</v>
      </c>
      <c r="I33" s="75">
        <v>359835</v>
      </c>
      <c r="J33" s="75">
        <f t="shared" si="6"/>
        <v>0</v>
      </c>
      <c r="K33" s="61">
        <f t="shared" si="8"/>
        <v>19939</v>
      </c>
      <c r="L33" s="61">
        <f t="shared" si="3"/>
        <v>91718</v>
      </c>
      <c r="M33" s="61">
        <f t="shared" si="4"/>
        <v>0</v>
      </c>
      <c r="O33" s="61">
        <v>0</v>
      </c>
      <c r="P33" s="75">
        <v>125339</v>
      </c>
      <c r="Q33" s="61">
        <v>0</v>
      </c>
      <c r="S33" s="75">
        <v>-4799</v>
      </c>
      <c r="T33" s="61">
        <v>0</v>
      </c>
      <c r="U33" s="75">
        <v>-797167</v>
      </c>
      <c r="W33" s="75">
        <v>1695838</v>
      </c>
      <c r="X33" s="75"/>
      <c r="Y33" s="75">
        <v>140757</v>
      </c>
    </row>
    <row r="34" spans="1:25" ht="20.100000000000001" customHeight="1" x14ac:dyDescent="0.25">
      <c r="A34" s="56">
        <v>128</v>
      </c>
      <c r="B34" s="73" t="s">
        <v>131</v>
      </c>
      <c r="C34" s="58">
        <v>3.6472986999999998E-2</v>
      </c>
      <c r="D34" s="58">
        <v>3.7781370334920884E-2</v>
      </c>
      <c r="E34" s="74">
        <f t="shared" si="7"/>
        <v>20204647</v>
      </c>
      <c r="F34" s="75">
        <v>20929442</v>
      </c>
      <c r="G34" s="75">
        <f t="shared" si="1"/>
        <v>724795</v>
      </c>
      <c r="H34" s="75">
        <f t="shared" si="5"/>
        <v>2906047</v>
      </c>
      <c r="I34" s="75">
        <v>2906047</v>
      </c>
      <c r="J34" s="75">
        <f t="shared" si="6"/>
        <v>0</v>
      </c>
      <c r="K34" s="61">
        <f t="shared" si="8"/>
        <v>129428</v>
      </c>
      <c r="L34" s="61">
        <f t="shared" si="3"/>
        <v>595367</v>
      </c>
      <c r="M34" s="61">
        <f t="shared" si="4"/>
        <v>0</v>
      </c>
      <c r="O34" s="61">
        <v>0</v>
      </c>
      <c r="P34" s="75">
        <v>1012248</v>
      </c>
      <c r="Q34" s="61">
        <v>0</v>
      </c>
      <c r="S34" s="75">
        <v>-38761</v>
      </c>
      <c r="T34" s="61">
        <v>0</v>
      </c>
      <c r="U34" s="75">
        <v>-6437961</v>
      </c>
      <c r="W34" s="75">
        <v>13695681</v>
      </c>
      <c r="X34" s="75"/>
      <c r="Y34" s="75">
        <v>1136759</v>
      </c>
    </row>
    <row r="35" spans="1:25" ht="20.100000000000001" customHeight="1" x14ac:dyDescent="0.25">
      <c r="A35" s="56">
        <v>129</v>
      </c>
      <c r="B35" s="73" t="s">
        <v>132</v>
      </c>
      <c r="C35" s="58">
        <v>7.9942639999999992E-3</v>
      </c>
      <c r="D35" s="58">
        <v>8.0940792250535059E-3</v>
      </c>
      <c r="E35" s="74">
        <f t="shared" si="7"/>
        <v>4428518</v>
      </c>
      <c r="F35" s="75">
        <v>4483812</v>
      </c>
      <c r="G35" s="75">
        <f t="shared" si="1"/>
        <v>55294</v>
      </c>
      <c r="H35" s="75">
        <f t="shared" si="5"/>
        <v>622576</v>
      </c>
      <c r="I35" s="75">
        <v>622576</v>
      </c>
      <c r="J35" s="75">
        <f t="shared" si="6"/>
        <v>0</v>
      </c>
      <c r="K35" s="61">
        <f t="shared" si="8"/>
        <v>9874</v>
      </c>
      <c r="L35" s="61">
        <f t="shared" si="3"/>
        <v>45420</v>
      </c>
      <c r="M35" s="61">
        <f t="shared" si="4"/>
        <v>0</v>
      </c>
      <c r="O35" s="61">
        <v>0</v>
      </c>
      <c r="P35" s="75">
        <v>216859</v>
      </c>
      <c r="Q35" s="61">
        <v>0</v>
      </c>
      <c r="S35" s="75">
        <v>-8304</v>
      </c>
      <c r="T35" s="61">
        <v>0</v>
      </c>
      <c r="U35" s="75">
        <v>-1379234</v>
      </c>
      <c r="W35" s="75">
        <v>2934090</v>
      </c>
      <c r="X35" s="75"/>
      <c r="Y35" s="75">
        <v>243533</v>
      </c>
    </row>
    <row r="36" spans="1:25" ht="20.100000000000001" customHeight="1" x14ac:dyDescent="0.25">
      <c r="A36" s="56">
        <v>130</v>
      </c>
      <c r="B36" s="77" t="s">
        <v>133</v>
      </c>
      <c r="C36" s="58">
        <v>2.405272E-3</v>
      </c>
      <c r="D36" s="58">
        <v>2.5470034033618421E-3</v>
      </c>
      <c r="E36" s="74">
        <f t="shared" si="7"/>
        <v>1332429</v>
      </c>
      <c r="F36" s="75">
        <v>1410943</v>
      </c>
      <c r="G36" s="75">
        <f t="shared" si="1"/>
        <v>78514</v>
      </c>
      <c r="H36" s="75">
        <f t="shared" si="5"/>
        <v>195909</v>
      </c>
      <c r="I36" s="75">
        <v>195909</v>
      </c>
      <c r="J36" s="75">
        <f t="shared" si="6"/>
        <v>0</v>
      </c>
      <c r="K36" s="61">
        <f t="shared" si="8"/>
        <v>14020</v>
      </c>
      <c r="L36" s="61">
        <f t="shared" si="3"/>
        <v>64494</v>
      </c>
      <c r="M36" s="61">
        <f t="shared" si="4"/>
        <v>0</v>
      </c>
      <c r="O36" s="61">
        <v>0</v>
      </c>
      <c r="P36" s="75">
        <v>68240</v>
      </c>
      <c r="Q36" s="61">
        <v>0</v>
      </c>
      <c r="S36" s="75">
        <v>-2613</v>
      </c>
      <c r="T36" s="61">
        <v>0</v>
      </c>
      <c r="U36" s="75">
        <v>-434010</v>
      </c>
      <c r="W36" s="75">
        <v>923284</v>
      </c>
      <c r="X36" s="75"/>
      <c r="Y36" s="75">
        <v>76634</v>
      </c>
    </row>
    <row r="37" spans="1:25" ht="20.100000000000001" customHeight="1" x14ac:dyDescent="0.25">
      <c r="A37" s="56">
        <v>131</v>
      </c>
      <c r="B37" s="78" t="s">
        <v>134</v>
      </c>
      <c r="C37" s="58">
        <v>3.4360189999999998E-3</v>
      </c>
      <c r="D37" s="58">
        <v>3.5153135722255846E-3</v>
      </c>
      <c r="E37" s="74">
        <f t="shared" si="7"/>
        <v>1903424</v>
      </c>
      <c r="F37" s="75">
        <v>1947350</v>
      </c>
      <c r="G37" s="75">
        <f t="shared" si="1"/>
        <v>43926</v>
      </c>
      <c r="H37" s="75">
        <f t="shared" si="5"/>
        <v>270389</v>
      </c>
      <c r="I37" s="75">
        <v>270389</v>
      </c>
      <c r="J37" s="75">
        <f t="shared" si="6"/>
        <v>0</v>
      </c>
      <c r="K37" s="61">
        <f t="shared" si="8"/>
        <v>7844</v>
      </c>
      <c r="L37" s="61">
        <f t="shared" si="3"/>
        <v>36082</v>
      </c>
      <c r="M37" s="61">
        <f t="shared" si="4"/>
        <v>0</v>
      </c>
      <c r="O37" s="61">
        <v>0</v>
      </c>
      <c r="P37" s="75">
        <v>94183</v>
      </c>
      <c r="Q37" s="61">
        <v>0</v>
      </c>
      <c r="S37" s="75">
        <v>-3606</v>
      </c>
      <c r="T37" s="61">
        <v>0</v>
      </c>
      <c r="U37" s="75">
        <v>-599011</v>
      </c>
      <c r="W37" s="75">
        <v>1274295</v>
      </c>
      <c r="X37" s="75"/>
      <c r="Y37" s="75">
        <v>105768</v>
      </c>
    </row>
    <row r="38" spans="1:25" ht="20.100000000000001" customHeight="1" x14ac:dyDescent="0.25">
      <c r="A38" s="56">
        <v>132</v>
      </c>
      <c r="B38" s="77" t="s">
        <v>135</v>
      </c>
      <c r="C38" s="58">
        <v>2.3405359999999998E-3</v>
      </c>
      <c r="D38" s="58">
        <v>2.1412426908496702E-3</v>
      </c>
      <c r="E38" s="74">
        <f t="shared" si="7"/>
        <v>1296568</v>
      </c>
      <c r="F38" s="75">
        <v>1186167</v>
      </c>
      <c r="G38" s="75">
        <f t="shared" si="1"/>
        <v>-110401</v>
      </c>
      <c r="H38" s="75">
        <f t="shared" si="5"/>
        <v>164699</v>
      </c>
      <c r="I38" s="75">
        <v>164699</v>
      </c>
      <c r="J38" s="75">
        <f t="shared" si="6"/>
        <v>0</v>
      </c>
      <c r="K38" s="61">
        <f t="shared" si="8"/>
        <v>-19714</v>
      </c>
      <c r="L38" s="61">
        <f t="shared" si="3"/>
        <v>0</v>
      </c>
      <c r="M38" s="61">
        <f t="shared" si="4"/>
        <v>-90687</v>
      </c>
      <c r="O38" s="61">
        <v>0</v>
      </c>
      <c r="P38" s="75">
        <v>57369</v>
      </c>
      <c r="Q38" s="61">
        <v>0</v>
      </c>
      <c r="S38" s="75">
        <v>-2197</v>
      </c>
      <c r="T38" s="61">
        <v>0</v>
      </c>
      <c r="U38" s="75">
        <v>-364869</v>
      </c>
      <c r="W38" s="75">
        <v>776197</v>
      </c>
      <c r="X38" s="75"/>
      <c r="Y38" s="75">
        <v>64425</v>
      </c>
    </row>
    <row r="39" spans="1:25" ht="20.100000000000001" customHeight="1" x14ac:dyDescent="0.25">
      <c r="A39" s="56">
        <v>133</v>
      </c>
      <c r="B39" s="78" t="s">
        <v>136</v>
      </c>
      <c r="C39" s="58">
        <v>1.813381E-2</v>
      </c>
      <c r="D39" s="58">
        <v>1.8394678186215749E-2</v>
      </c>
      <c r="E39" s="74">
        <f t="shared" si="7"/>
        <v>10045441</v>
      </c>
      <c r="F39" s="75">
        <v>10189952</v>
      </c>
      <c r="G39" s="75">
        <f t="shared" si="1"/>
        <v>144511</v>
      </c>
      <c r="H39" s="75">
        <f t="shared" si="5"/>
        <v>1414872</v>
      </c>
      <c r="I39" s="75">
        <v>1414872</v>
      </c>
      <c r="J39" s="75">
        <f t="shared" si="6"/>
        <v>0</v>
      </c>
      <c r="K39" s="61">
        <f t="shared" si="8"/>
        <v>25806</v>
      </c>
      <c r="L39" s="61">
        <f t="shared" si="3"/>
        <v>118705</v>
      </c>
      <c r="M39" s="61">
        <f t="shared" si="4"/>
        <v>0</v>
      </c>
      <c r="O39" s="61">
        <v>0</v>
      </c>
      <c r="P39" s="75">
        <v>492835</v>
      </c>
      <c r="Q39" s="61">
        <v>0</v>
      </c>
      <c r="S39" s="75">
        <v>-18871</v>
      </c>
      <c r="T39" s="61">
        <v>0</v>
      </c>
      <c r="U39" s="75">
        <v>-3134461</v>
      </c>
      <c r="W39" s="75">
        <v>6668039</v>
      </c>
      <c r="X39" s="75"/>
      <c r="Y39" s="75">
        <v>553456</v>
      </c>
    </row>
    <row r="40" spans="1:25" ht="20.100000000000001" customHeight="1" x14ac:dyDescent="0.25">
      <c r="A40" s="56">
        <v>134</v>
      </c>
      <c r="B40" s="77" t="s">
        <v>137</v>
      </c>
      <c r="C40" s="58">
        <v>1.5751590999999999E-2</v>
      </c>
      <c r="D40" s="58">
        <v>1.5610552003226806E-2</v>
      </c>
      <c r="E40" s="74">
        <f t="shared" si="7"/>
        <v>8725782</v>
      </c>
      <c r="F40" s="75">
        <v>8647652</v>
      </c>
      <c r="G40" s="75">
        <f t="shared" si="1"/>
        <v>-78130</v>
      </c>
      <c r="H40" s="75">
        <f t="shared" si="5"/>
        <v>1200724</v>
      </c>
      <c r="I40" s="75">
        <v>1200724</v>
      </c>
      <c r="J40" s="75">
        <f t="shared" si="6"/>
        <v>0</v>
      </c>
      <c r="K40" s="61">
        <f t="shared" si="8"/>
        <v>-13952</v>
      </c>
      <c r="L40" s="61">
        <f t="shared" si="3"/>
        <v>0</v>
      </c>
      <c r="M40" s="61">
        <f t="shared" si="4"/>
        <v>-64178</v>
      </c>
      <c r="O40" s="61">
        <v>0</v>
      </c>
      <c r="P40" s="75">
        <v>418242</v>
      </c>
      <c r="Q40" s="61">
        <v>0</v>
      </c>
      <c r="S40" s="75">
        <v>-16015</v>
      </c>
      <c r="T40" s="61">
        <v>0</v>
      </c>
      <c r="U40" s="75">
        <v>-2660045</v>
      </c>
      <c r="W40" s="75">
        <v>5658798</v>
      </c>
      <c r="X40" s="75"/>
      <c r="Y40" s="75">
        <v>469688</v>
      </c>
    </row>
    <row r="41" spans="1:25" ht="20.100000000000001" customHeight="1" x14ac:dyDescent="0.25">
      <c r="A41" s="56">
        <v>135</v>
      </c>
      <c r="B41" s="78" t="s">
        <v>138</v>
      </c>
      <c r="C41" s="58">
        <v>1.9851965999999999E-2</v>
      </c>
      <c r="D41" s="58">
        <v>2.0054860770485287E-2</v>
      </c>
      <c r="E41" s="74">
        <f t="shared" si="7"/>
        <v>10997234</v>
      </c>
      <c r="F41" s="75">
        <v>11109630</v>
      </c>
      <c r="G41" s="75">
        <f t="shared" si="1"/>
        <v>112396</v>
      </c>
      <c r="H41" s="75">
        <f t="shared" si="5"/>
        <v>1542569</v>
      </c>
      <c r="I41" s="75">
        <v>1542569</v>
      </c>
      <c r="J41" s="75">
        <f t="shared" si="6"/>
        <v>0</v>
      </c>
      <c r="K41" s="61">
        <f t="shared" si="8"/>
        <v>20071</v>
      </c>
      <c r="L41" s="61">
        <f t="shared" si="3"/>
        <v>92325</v>
      </c>
      <c r="M41" s="61">
        <f t="shared" si="4"/>
        <v>0</v>
      </c>
      <c r="O41" s="61">
        <v>0</v>
      </c>
      <c r="P41" s="75">
        <v>537315</v>
      </c>
      <c r="Q41" s="61">
        <v>0</v>
      </c>
      <c r="S41" s="75">
        <v>-20575</v>
      </c>
      <c r="T41" s="61">
        <v>0</v>
      </c>
      <c r="U41" s="75">
        <v>-3417357</v>
      </c>
      <c r="W41" s="75">
        <v>7269852</v>
      </c>
      <c r="X41" s="75"/>
      <c r="Y41" s="75">
        <v>603407</v>
      </c>
    </row>
    <row r="42" spans="1:25" ht="20.100000000000001" customHeight="1" x14ac:dyDescent="0.25">
      <c r="A42" s="56">
        <v>136</v>
      </c>
      <c r="B42" s="78" t="s">
        <v>139</v>
      </c>
      <c r="C42" s="58">
        <v>1.7272699999999998E-2</v>
      </c>
      <c r="D42" s="58">
        <v>1.7550385557971553E-2</v>
      </c>
      <c r="E42" s="74">
        <f t="shared" si="7"/>
        <v>9568419</v>
      </c>
      <c r="F42" s="75">
        <v>9722246</v>
      </c>
      <c r="G42" s="75">
        <f t="shared" si="1"/>
        <v>153827</v>
      </c>
      <c r="H42" s="75">
        <f t="shared" si="5"/>
        <v>1349931</v>
      </c>
      <c r="I42" s="75">
        <v>1349931</v>
      </c>
      <c r="J42" s="75">
        <f t="shared" si="6"/>
        <v>0</v>
      </c>
      <c r="K42" s="61">
        <f t="shared" si="8"/>
        <v>27469</v>
      </c>
      <c r="L42" s="61">
        <f t="shared" si="3"/>
        <v>126358</v>
      </c>
      <c r="M42" s="61">
        <f t="shared" si="4"/>
        <v>0</v>
      </c>
      <c r="O42" s="61">
        <v>0</v>
      </c>
      <c r="P42" s="75">
        <v>470215</v>
      </c>
      <c r="Q42" s="61">
        <v>0</v>
      </c>
      <c r="S42" s="75">
        <v>-18005</v>
      </c>
      <c r="T42" s="61">
        <v>0</v>
      </c>
      <c r="U42" s="75">
        <v>-2990593</v>
      </c>
      <c r="W42" s="75">
        <v>6361984</v>
      </c>
      <c r="X42" s="75"/>
      <c r="Y42" s="75">
        <v>528053</v>
      </c>
    </row>
    <row r="43" spans="1:25" ht="20.100000000000001" customHeight="1" x14ac:dyDescent="0.25">
      <c r="A43" s="56">
        <v>137</v>
      </c>
      <c r="B43" s="78" t="s">
        <v>140</v>
      </c>
      <c r="C43" s="58">
        <v>1.0930558E-2</v>
      </c>
      <c r="D43" s="58">
        <v>1.0652561755950604E-2</v>
      </c>
      <c r="E43" s="74">
        <f t="shared" si="7"/>
        <v>6055113</v>
      </c>
      <c r="F43" s="75">
        <v>5901114</v>
      </c>
      <c r="G43" s="75">
        <f t="shared" si="1"/>
        <v>-153999</v>
      </c>
      <c r="H43" s="75">
        <f t="shared" si="5"/>
        <v>819368</v>
      </c>
      <c r="I43" s="75">
        <v>819368</v>
      </c>
      <c r="J43" s="75">
        <f t="shared" si="6"/>
        <v>0</v>
      </c>
      <c r="K43" s="61">
        <f t="shared" si="8"/>
        <v>-27500</v>
      </c>
      <c r="L43" s="61">
        <f t="shared" si="3"/>
        <v>0</v>
      </c>
      <c r="M43" s="61">
        <f t="shared" si="4"/>
        <v>-126499</v>
      </c>
      <c r="O43" s="61">
        <v>0</v>
      </c>
      <c r="P43" s="75">
        <v>285406</v>
      </c>
      <c r="Q43" s="61">
        <v>0</v>
      </c>
      <c r="S43" s="75">
        <v>-10929</v>
      </c>
      <c r="T43" s="61">
        <v>0</v>
      </c>
      <c r="U43" s="75">
        <v>-1815201</v>
      </c>
      <c r="W43" s="75">
        <v>3861535</v>
      </c>
      <c r="X43" s="75"/>
      <c r="Y43" s="75">
        <v>320512</v>
      </c>
    </row>
    <row r="44" spans="1:25" ht="20.100000000000001" customHeight="1" x14ac:dyDescent="0.25">
      <c r="A44" s="56">
        <v>138</v>
      </c>
      <c r="B44" s="78" t="s">
        <v>141</v>
      </c>
      <c r="C44" s="58">
        <v>2.3228110000000001E-3</v>
      </c>
      <c r="D44" s="58">
        <v>2.3467098673224606E-3</v>
      </c>
      <c r="E44" s="74">
        <f t="shared" si="7"/>
        <v>1286749</v>
      </c>
      <c r="F44" s="75">
        <v>1299988</v>
      </c>
      <c r="G44" s="75">
        <f t="shared" si="1"/>
        <v>13239</v>
      </c>
      <c r="H44" s="75">
        <f t="shared" si="5"/>
        <v>180503</v>
      </c>
      <c r="I44" s="75">
        <v>180503</v>
      </c>
      <c r="J44" s="75">
        <f t="shared" si="6"/>
        <v>0</v>
      </c>
      <c r="K44" s="61">
        <f t="shared" si="8"/>
        <v>2364</v>
      </c>
      <c r="L44" s="61">
        <f t="shared" si="3"/>
        <v>10875</v>
      </c>
      <c r="M44" s="61">
        <f t="shared" si="4"/>
        <v>0</v>
      </c>
      <c r="O44" s="61">
        <v>0</v>
      </c>
      <c r="P44" s="75">
        <v>62874</v>
      </c>
      <c r="Q44" s="61">
        <v>0</v>
      </c>
      <c r="S44" s="75">
        <v>-2408</v>
      </c>
      <c r="T44" s="61">
        <v>0</v>
      </c>
      <c r="U44" s="75">
        <v>-399880</v>
      </c>
      <c r="W44" s="75">
        <v>850678</v>
      </c>
      <c r="X44" s="75"/>
      <c r="Y44" s="75">
        <v>70607</v>
      </c>
    </row>
    <row r="45" spans="1:25" ht="20.100000000000001" customHeight="1" x14ac:dyDescent="0.25">
      <c r="A45" s="56">
        <v>139</v>
      </c>
      <c r="B45" s="77" t="s">
        <v>142</v>
      </c>
      <c r="C45" s="58">
        <v>4.9805830000000002E-3</v>
      </c>
      <c r="D45" s="58">
        <v>4.8796202452608475E-3</v>
      </c>
      <c r="E45" s="74">
        <f t="shared" si="7"/>
        <v>2759054</v>
      </c>
      <c r="F45" s="75">
        <v>2703124</v>
      </c>
      <c r="G45" s="75">
        <f t="shared" si="1"/>
        <v>-55930</v>
      </c>
      <c r="H45" s="75">
        <f t="shared" si="5"/>
        <v>375328</v>
      </c>
      <c r="I45" s="75">
        <v>375328</v>
      </c>
      <c r="J45" s="75">
        <f t="shared" si="6"/>
        <v>0</v>
      </c>
      <c r="K45" s="61">
        <f t="shared" si="8"/>
        <v>-9988</v>
      </c>
      <c r="L45" s="61">
        <f t="shared" si="3"/>
        <v>0</v>
      </c>
      <c r="M45" s="61">
        <f t="shared" si="4"/>
        <v>-45942</v>
      </c>
      <c r="O45" s="61">
        <v>0</v>
      </c>
      <c r="P45" s="75">
        <v>130736</v>
      </c>
      <c r="Q45" s="61">
        <v>0</v>
      </c>
      <c r="S45" s="75">
        <v>-5006</v>
      </c>
      <c r="T45" s="61">
        <v>0</v>
      </c>
      <c r="U45" s="75">
        <v>-831489</v>
      </c>
      <c r="W45" s="75">
        <v>1768854</v>
      </c>
      <c r="X45" s="75"/>
      <c r="Y45" s="75">
        <v>146817</v>
      </c>
    </row>
    <row r="46" spans="1:25" ht="20.100000000000001" customHeight="1" x14ac:dyDescent="0.25">
      <c r="A46" s="56">
        <v>140</v>
      </c>
      <c r="B46" s="78" t="s">
        <v>143</v>
      </c>
      <c r="C46" s="58">
        <v>1.4852021999999999E-2</v>
      </c>
      <c r="D46" s="58">
        <v>1.4834069085115394E-2</v>
      </c>
      <c r="E46" s="74">
        <f t="shared" si="7"/>
        <v>8227455</v>
      </c>
      <c r="F46" s="75">
        <v>8217510</v>
      </c>
      <c r="G46" s="75">
        <f t="shared" si="1"/>
        <v>-9945</v>
      </c>
      <c r="H46" s="75">
        <f t="shared" si="5"/>
        <v>1140999</v>
      </c>
      <c r="I46" s="75">
        <v>1140999</v>
      </c>
      <c r="J46" s="75">
        <f t="shared" si="6"/>
        <v>0</v>
      </c>
      <c r="K46" s="61">
        <f t="shared" si="8"/>
        <v>-1776</v>
      </c>
      <c r="L46" s="61">
        <f t="shared" si="3"/>
        <v>0</v>
      </c>
      <c r="M46" s="61">
        <f t="shared" si="4"/>
        <v>-8169</v>
      </c>
      <c r="O46" s="61">
        <v>0</v>
      </c>
      <c r="P46" s="75">
        <v>397438</v>
      </c>
      <c r="Q46" s="61">
        <v>0</v>
      </c>
      <c r="S46" s="75">
        <v>-15219</v>
      </c>
      <c r="T46" s="61">
        <v>0</v>
      </c>
      <c r="U46" s="75">
        <v>-2527732</v>
      </c>
      <c r="W46" s="75">
        <v>5377325</v>
      </c>
      <c r="X46" s="75"/>
      <c r="Y46" s="75">
        <v>446325</v>
      </c>
    </row>
    <row r="47" spans="1:25" ht="20.100000000000001" customHeight="1" x14ac:dyDescent="0.25">
      <c r="A47" s="56">
        <v>141</v>
      </c>
      <c r="B47" s="79" t="s">
        <v>144</v>
      </c>
      <c r="C47" s="58">
        <v>2.9829019999999999E-3</v>
      </c>
      <c r="D47" s="58">
        <v>3.0993608241631594E-3</v>
      </c>
      <c r="E47" s="74">
        <f t="shared" si="7"/>
        <v>1652414</v>
      </c>
      <c r="F47" s="75">
        <v>1716928</v>
      </c>
      <c r="G47" s="75">
        <f t="shared" si="1"/>
        <v>64514</v>
      </c>
      <c r="H47" s="75">
        <f t="shared" si="5"/>
        <v>238395</v>
      </c>
      <c r="I47" s="75">
        <v>238395</v>
      </c>
      <c r="J47" s="75">
        <f t="shared" si="6"/>
        <v>0</v>
      </c>
      <c r="K47" s="61">
        <f t="shared" si="8"/>
        <v>11520</v>
      </c>
      <c r="L47" s="61">
        <f t="shared" si="3"/>
        <v>52994</v>
      </c>
      <c r="M47" s="61">
        <f t="shared" si="4"/>
        <v>0</v>
      </c>
      <c r="O47" s="61">
        <v>0</v>
      </c>
      <c r="P47" s="75">
        <v>83039</v>
      </c>
      <c r="Q47" s="61">
        <v>0</v>
      </c>
      <c r="S47" s="75">
        <v>-3180</v>
      </c>
      <c r="T47" s="61">
        <v>0</v>
      </c>
      <c r="U47" s="75">
        <v>-528132</v>
      </c>
      <c r="W47" s="75">
        <v>1123513</v>
      </c>
      <c r="X47" s="75"/>
      <c r="Y47" s="75">
        <v>93253</v>
      </c>
    </row>
    <row r="48" spans="1:25" ht="20.100000000000001" customHeight="1" x14ac:dyDescent="0.25">
      <c r="A48" s="56">
        <v>142</v>
      </c>
      <c r="B48" s="73" t="s">
        <v>145</v>
      </c>
      <c r="C48" s="58">
        <v>6.4906586000000002E-2</v>
      </c>
      <c r="D48" s="58">
        <v>6.4715840660402313E-2</v>
      </c>
      <c r="E48" s="74">
        <f t="shared" si="7"/>
        <v>35955780</v>
      </c>
      <c r="F48" s="75">
        <v>35850114</v>
      </c>
      <c r="G48" s="75">
        <f t="shared" si="1"/>
        <v>-105666</v>
      </c>
      <c r="H48" s="75">
        <f t="shared" si="5"/>
        <v>4977778</v>
      </c>
      <c r="I48" s="75">
        <v>4977778</v>
      </c>
      <c r="J48" s="75">
        <f t="shared" si="6"/>
        <v>0</v>
      </c>
      <c r="K48" s="61">
        <f t="shared" si="8"/>
        <v>-18869</v>
      </c>
      <c r="L48" s="61">
        <f t="shared" si="3"/>
        <v>0</v>
      </c>
      <c r="M48" s="61">
        <f t="shared" si="4"/>
        <v>-86797</v>
      </c>
      <c r="O48" s="61">
        <v>0</v>
      </c>
      <c r="P48" s="75">
        <v>1733884</v>
      </c>
      <c r="Q48" s="61">
        <v>0</v>
      </c>
      <c r="S48" s="75">
        <v>-66393</v>
      </c>
      <c r="T48" s="61">
        <v>0</v>
      </c>
      <c r="U48" s="75">
        <v>-11027606</v>
      </c>
      <c r="W48" s="75">
        <v>23459379</v>
      </c>
      <c r="X48" s="75"/>
      <c r="Y48" s="75">
        <v>1947159</v>
      </c>
    </row>
    <row r="49" spans="1:25" ht="20.100000000000001" customHeight="1" x14ac:dyDescent="0.25">
      <c r="A49" s="56">
        <v>143</v>
      </c>
      <c r="B49" s="73" t="s">
        <v>146</v>
      </c>
      <c r="C49" s="58">
        <v>5.0584890000000002E-3</v>
      </c>
      <c r="D49" s="58">
        <v>5.0431459137678953E-3</v>
      </c>
      <c r="E49" s="74">
        <f t="shared" si="7"/>
        <v>2802210</v>
      </c>
      <c r="F49" s="75">
        <v>2793711</v>
      </c>
      <c r="G49" s="75">
        <f t="shared" si="1"/>
        <v>-8499</v>
      </c>
      <c r="H49" s="75">
        <f t="shared" si="5"/>
        <v>387906</v>
      </c>
      <c r="I49" s="75">
        <v>387906</v>
      </c>
      <c r="J49" s="75">
        <f t="shared" si="6"/>
        <v>0</v>
      </c>
      <c r="K49" s="61">
        <f t="shared" si="8"/>
        <v>-1518</v>
      </c>
      <c r="L49" s="61">
        <f t="shared" si="3"/>
        <v>0</v>
      </c>
      <c r="M49" s="61">
        <f t="shared" si="4"/>
        <v>-6981</v>
      </c>
      <c r="O49" s="61">
        <v>0</v>
      </c>
      <c r="P49" s="75">
        <v>135117</v>
      </c>
      <c r="Q49" s="61">
        <v>0</v>
      </c>
      <c r="S49" s="75">
        <v>-5174</v>
      </c>
      <c r="T49" s="61">
        <v>0</v>
      </c>
      <c r="U49" s="75">
        <v>-859354</v>
      </c>
      <c r="W49" s="75">
        <v>1828132</v>
      </c>
      <c r="X49" s="75"/>
      <c r="Y49" s="75">
        <v>151737</v>
      </c>
    </row>
    <row r="50" spans="1:25" ht="20.100000000000001" customHeight="1" x14ac:dyDescent="0.25">
      <c r="A50" s="56">
        <v>144</v>
      </c>
      <c r="B50" s="73" t="s">
        <v>147</v>
      </c>
      <c r="C50" s="58">
        <v>3.7492210000000001E-3</v>
      </c>
      <c r="D50" s="58">
        <v>3.744975550767104E-3</v>
      </c>
      <c r="E50" s="74">
        <f t="shared" si="7"/>
        <v>2076926</v>
      </c>
      <c r="F50" s="75">
        <v>2074574</v>
      </c>
      <c r="G50" s="75">
        <f t="shared" si="1"/>
        <v>-2352</v>
      </c>
      <c r="H50" s="75">
        <f t="shared" si="5"/>
        <v>288054</v>
      </c>
      <c r="I50" s="75">
        <v>288054</v>
      </c>
      <c r="J50" s="75">
        <f t="shared" si="6"/>
        <v>0</v>
      </c>
      <c r="K50" s="61">
        <f t="shared" si="8"/>
        <v>-420</v>
      </c>
      <c r="L50" s="61">
        <f t="shared" si="3"/>
        <v>0</v>
      </c>
      <c r="M50" s="61">
        <f t="shared" si="4"/>
        <v>-1932</v>
      </c>
      <c r="O50" s="61">
        <v>0</v>
      </c>
      <c r="P50" s="75">
        <v>100336</v>
      </c>
      <c r="Q50" s="61">
        <v>0</v>
      </c>
      <c r="S50" s="75">
        <v>-3842</v>
      </c>
      <c r="T50" s="61">
        <v>0</v>
      </c>
      <c r="U50" s="75">
        <v>-638145</v>
      </c>
      <c r="W50" s="75">
        <v>1357547</v>
      </c>
      <c r="X50" s="75"/>
      <c r="Y50" s="75">
        <v>112678</v>
      </c>
    </row>
    <row r="51" spans="1:25" ht="20.100000000000001" customHeight="1" x14ac:dyDescent="0.25">
      <c r="A51" s="56">
        <v>145</v>
      </c>
      <c r="B51" s="73" t="s">
        <v>148</v>
      </c>
      <c r="C51" s="58">
        <v>1.7820418000000001E-2</v>
      </c>
      <c r="D51" s="58">
        <v>1.8092471515386233E-2</v>
      </c>
      <c r="E51" s="74">
        <f t="shared" si="7"/>
        <v>9871834</v>
      </c>
      <c r="F51" s="75">
        <v>10022541</v>
      </c>
      <c r="G51" s="75">
        <f t="shared" si="1"/>
        <v>150707</v>
      </c>
      <c r="H51" s="75">
        <f t="shared" si="5"/>
        <v>1391627</v>
      </c>
      <c r="I51" s="75">
        <v>1391627</v>
      </c>
      <c r="J51" s="75">
        <f t="shared" si="6"/>
        <v>0</v>
      </c>
      <c r="K51" s="61">
        <f t="shared" si="8"/>
        <v>26912</v>
      </c>
      <c r="L51" s="61">
        <f t="shared" si="3"/>
        <v>123795</v>
      </c>
      <c r="M51" s="61">
        <f t="shared" si="4"/>
        <v>0</v>
      </c>
      <c r="O51" s="61">
        <v>0</v>
      </c>
      <c r="P51" s="75">
        <v>484738</v>
      </c>
      <c r="Q51" s="61">
        <v>0</v>
      </c>
      <c r="S51" s="75">
        <v>-18561</v>
      </c>
      <c r="T51" s="61">
        <v>0</v>
      </c>
      <c r="U51" s="75">
        <v>-3082965</v>
      </c>
      <c r="W51" s="75">
        <v>6558490</v>
      </c>
      <c r="X51" s="75"/>
      <c r="Y51" s="75">
        <v>544363</v>
      </c>
    </row>
    <row r="52" spans="1:25" ht="20.100000000000001" customHeight="1" x14ac:dyDescent="0.25">
      <c r="A52" s="56">
        <v>146</v>
      </c>
      <c r="B52" s="73" t="s">
        <v>149</v>
      </c>
      <c r="C52" s="58">
        <v>5.8180734999999997E-2</v>
      </c>
      <c r="D52" s="58">
        <v>5.7205204023024966E-2</v>
      </c>
      <c r="E52" s="74">
        <f t="shared" si="7"/>
        <v>32229914</v>
      </c>
      <c r="F52" s="75">
        <v>31689507</v>
      </c>
      <c r="G52" s="75">
        <f t="shared" si="1"/>
        <v>-540407</v>
      </c>
      <c r="H52" s="75">
        <f t="shared" si="5"/>
        <v>4400079</v>
      </c>
      <c r="I52" s="75">
        <v>4400079</v>
      </c>
      <c r="J52" s="75">
        <f t="shared" si="6"/>
        <v>0</v>
      </c>
      <c r="K52" s="61">
        <f t="shared" si="8"/>
        <v>-96501</v>
      </c>
      <c r="L52" s="61">
        <f t="shared" si="3"/>
        <v>0</v>
      </c>
      <c r="M52" s="61">
        <f t="shared" si="4"/>
        <v>-443906</v>
      </c>
      <c r="O52" s="61">
        <v>0</v>
      </c>
      <c r="P52" s="75">
        <v>1532657</v>
      </c>
      <c r="Q52" s="61">
        <v>0</v>
      </c>
      <c r="S52" s="75">
        <v>-58688</v>
      </c>
      <c r="T52" s="61">
        <v>0</v>
      </c>
      <c r="U52" s="75">
        <v>-9747791</v>
      </c>
      <c r="W52" s="75">
        <v>20736787</v>
      </c>
      <c r="X52" s="75"/>
      <c r="Y52" s="75">
        <v>1721181</v>
      </c>
    </row>
    <row r="53" spans="1:25" ht="20.100000000000001" customHeight="1" x14ac:dyDescent="0.25">
      <c r="A53" s="56">
        <v>147</v>
      </c>
      <c r="B53" s="73" t="s">
        <v>150</v>
      </c>
      <c r="C53" s="58">
        <v>3.5554549999999999E-3</v>
      </c>
      <c r="D53" s="58">
        <v>3.6468695365889934E-3</v>
      </c>
      <c r="E53" s="74">
        <f t="shared" si="7"/>
        <v>1969587</v>
      </c>
      <c r="F53" s="75">
        <v>2020227</v>
      </c>
      <c r="G53" s="75">
        <f t="shared" si="1"/>
        <v>50640</v>
      </c>
      <c r="H53" s="75">
        <f t="shared" si="5"/>
        <v>280508</v>
      </c>
      <c r="I53" s="75">
        <v>280508</v>
      </c>
      <c r="J53" s="75">
        <f t="shared" si="6"/>
        <v>0</v>
      </c>
      <c r="K53" s="61">
        <f t="shared" si="8"/>
        <v>9043</v>
      </c>
      <c r="L53" s="61">
        <f t="shared" si="3"/>
        <v>41597</v>
      </c>
      <c r="M53" s="61">
        <f t="shared" si="4"/>
        <v>0</v>
      </c>
      <c r="O53" s="61">
        <v>0</v>
      </c>
      <c r="P53" s="75">
        <v>97708</v>
      </c>
      <c r="Q53" s="61">
        <v>0</v>
      </c>
      <c r="S53" s="75">
        <v>-3741</v>
      </c>
      <c r="T53" s="61">
        <v>0</v>
      </c>
      <c r="U53" s="75">
        <v>-621428</v>
      </c>
      <c r="W53" s="75">
        <v>1321984</v>
      </c>
      <c r="X53" s="75"/>
      <c r="Y53" s="75">
        <v>109726</v>
      </c>
    </row>
    <row r="54" spans="1:25" ht="20.100000000000001" customHeight="1" x14ac:dyDescent="0.25">
      <c r="A54" s="56">
        <v>148</v>
      </c>
      <c r="B54" s="73" t="s">
        <v>151</v>
      </c>
      <c r="C54" s="58">
        <v>3.1734760000000002E-3</v>
      </c>
      <c r="D54" s="58">
        <v>3.1191221088193092E-3</v>
      </c>
      <c r="E54" s="74">
        <f t="shared" si="7"/>
        <v>1757985</v>
      </c>
      <c r="F54" s="75">
        <v>1727875</v>
      </c>
      <c r="G54" s="75">
        <f t="shared" si="1"/>
        <v>-30110</v>
      </c>
      <c r="H54" s="75">
        <f t="shared" si="5"/>
        <v>239915</v>
      </c>
      <c r="I54" s="75">
        <v>239915</v>
      </c>
      <c r="J54" s="75">
        <f t="shared" si="6"/>
        <v>0</v>
      </c>
      <c r="K54" s="61">
        <f t="shared" si="8"/>
        <v>-5377</v>
      </c>
      <c r="L54" s="61">
        <f t="shared" si="3"/>
        <v>0</v>
      </c>
      <c r="M54" s="61">
        <f t="shared" si="4"/>
        <v>-24733</v>
      </c>
      <c r="O54" s="61">
        <v>0</v>
      </c>
      <c r="P54" s="75">
        <v>83568</v>
      </c>
      <c r="Q54" s="61">
        <v>0</v>
      </c>
      <c r="S54" s="75">
        <v>-3200</v>
      </c>
      <c r="T54" s="61">
        <v>0</v>
      </c>
      <c r="U54" s="75">
        <v>-531500</v>
      </c>
      <c r="W54" s="75">
        <v>1130677</v>
      </c>
      <c r="X54" s="75"/>
      <c r="Y54" s="75">
        <v>93848</v>
      </c>
    </row>
    <row r="55" spans="1:25" x14ac:dyDescent="0.25">
      <c r="A55" s="56">
        <v>149</v>
      </c>
      <c r="B55" s="73" t="s">
        <v>152</v>
      </c>
      <c r="C55" s="58">
        <v>3.0976123000000001E-2</v>
      </c>
      <c r="D55" s="58">
        <v>3.1260783626260578E-2</v>
      </c>
      <c r="E55" s="74">
        <f t="shared" si="7"/>
        <v>17159594</v>
      </c>
      <c r="F55" s="75">
        <v>17317285</v>
      </c>
      <c r="G55" s="75">
        <f t="shared" si="1"/>
        <v>157691</v>
      </c>
      <c r="H55" s="75">
        <f t="shared" si="5"/>
        <v>2404500</v>
      </c>
      <c r="I55" s="75">
        <v>2404500</v>
      </c>
      <c r="J55" s="75">
        <f t="shared" si="6"/>
        <v>0</v>
      </c>
      <c r="K55" s="61">
        <f t="shared" si="8"/>
        <v>28159</v>
      </c>
      <c r="L55" s="61">
        <f t="shared" si="3"/>
        <v>129532</v>
      </c>
      <c r="M55" s="61">
        <f t="shared" si="4"/>
        <v>0</v>
      </c>
      <c r="O55" s="61">
        <v>0</v>
      </c>
      <c r="P55" s="75">
        <v>837547</v>
      </c>
      <c r="Q55" s="61">
        <v>0</v>
      </c>
      <c r="S55" s="75">
        <v>-32071</v>
      </c>
      <c r="T55" s="61">
        <v>0</v>
      </c>
      <c r="U55" s="75">
        <v>-5326851</v>
      </c>
      <c r="W55" s="75">
        <v>11331979</v>
      </c>
      <c r="X55" s="75"/>
      <c r="Y55" s="75">
        <v>940569</v>
      </c>
    </row>
    <row r="56" spans="1:25" x14ac:dyDescent="0.25">
      <c r="E56" s="74"/>
      <c r="U56" s="75"/>
      <c r="W56" s="61"/>
      <c r="X56" s="61"/>
      <c r="Y56" s="75"/>
    </row>
    <row r="57" spans="1:25" x14ac:dyDescent="0.25">
      <c r="C57" s="80">
        <f t="shared" ref="C57:H57" si="9">SUM(C7:C56)</f>
        <v>1.0000000009999999</v>
      </c>
      <c r="D57" s="80">
        <f t="shared" si="9"/>
        <v>1</v>
      </c>
      <c r="E57" s="74">
        <f t="shared" si="9"/>
        <v>553961961</v>
      </c>
      <c r="F57" s="74">
        <f t="shared" si="9"/>
        <v>553961961</v>
      </c>
      <c r="G57" s="59">
        <f t="shared" si="9"/>
        <v>0</v>
      </c>
      <c r="H57" s="74">
        <f t="shared" si="9"/>
        <v>76917460</v>
      </c>
      <c r="J57" s="59">
        <f>SUM(J7:J56)</f>
        <v>0</v>
      </c>
      <c r="K57" s="59">
        <f>SUM(K7:K56)</f>
        <v>0</v>
      </c>
      <c r="L57" s="75">
        <f t="shared" ref="L57" si="10">SUM(L7:L56)</f>
        <v>3205189</v>
      </c>
      <c r="M57" s="75">
        <f>SUM(M7:M56)</f>
        <v>-3205189</v>
      </c>
      <c r="O57" s="75">
        <f>SUM(O7:O56)</f>
        <v>0</v>
      </c>
      <c r="P57" s="75">
        <f>SUM(P7:P56)</f>
        <v>26792260</v>
      </c>
      <c r="Q57" s="75">
        <f>SUM(Q7:Q56)</f>
        <v>0</v>
      </c>
      <c r="S57" s="75">
        <f>SUM(S7:S56)</f>
        <v>-1025916</v>
      </c>
      <c r="T57" s="75">
        <f>SUM(T7:T56)</f>
        <v>0</v>
      </c>
      <c r="U57" s="75">
        <f>SUM(U7:U56)+U61</f>
        <v>-170400421</v>
      </c>
      <c r="V57" s="75"/>
      <c r="W57" s="75">
        <f>SUM(W7:W56)+W61</f>
        <v>362498253</v>
      </c>
      <c r="X57" s="75"/>
      <c r="Y57" s="75">
        <f>SUM(Y7:Y56)+Y61</f>
        <v>30087829</v>
      </c>
    </row>
    <row r="58" spans="1:25" x14ac:dyDescent="0.25">
      <c r="C58" s="80"/>
      <c r="D58" s="80"/>
      <c r="E58" s="74"/>
      <c r="F58" s="74"/>
      <c r="H58" s="74"/>
      <c r="K58" s="59"/>
      <c r="L58" s="75"/>
      <c r="M58" s="75"/>
      <c r="O58" s="75"/>
      <c r="P58" s="75"/>
      <c r="Q58" s="75"/>
      <c r="S58" s="75"/>
      <c r="T58" s="75"/>
      <c r="U58" s="75"/>
      <c r="V58" s="75"/>
      <c r="W58" s="75"/>
      <c r="X58" s="75"/>
      <c r="Y58" s="75"/>
    </row>
    <row r="59" spans="1:25" x14ac:dyDescent="0.25">
      <c r="K59" s="59"/>
      <c r="L59" s="75"/>
      <c r="M59" s="75"/>
      <c r="O59" t="s">
        <v>60</v>
      </c>
      <c r="P59" s="60"/>
      <c r="Q59" s="80"/>
      <c r="R59" s="80"/>
      <c r="S59" s="74"/>
      <c r="T59" s="74"/>
      <c r="U59" s="59">
        <v>5.6</v>
      </c>
      <c r="V59" s="44" t="s">
        <v>61</v>
      </c>
      <c r="W59" s="75"/>
      <c r="X59" s="75"/>
      <c r="Y59" s="75"/>
    </row>
    <row r="60" spans="1:25" x14ac:dyDescent="0.25">
      <c r="U60" s="75"/>
    </row>
    <row r="61" spans="1:25" x14ac:dyDescent="0.25">
      <c r="B61" s="60" t="s">
        <v>153</v>
      </c>
      <c r="U61" s="75">
        <v>-1</v>
      </c>
      <c r="W61" s="60">
        <v>-1</v>
      </c>
      <c r="Y61" s="60">
        <v>2</v>
      </c>
    </row>
  </sheetData>
  <sheetProtection algorithmName="SHA-512" hashValue="SJB4ZJJOppFTIVL7R5qfg8D5RKS48JWC59jtS+YJCYuxtA7ZNPGRz1Hk9DrJaBl2FxhMpzCRICkb62rDsMNFVw==" saltValue="v5xIhq8yELEAwxSvadWfUA==" spinCount="100000" sheet="1" objects="1" scenarios="1"/>
  <mergeCells count="3">
    <mergeCell ref="K3:M3"/>
    <mergeCell ref="O3:Q3"/>
    <mergeCell ref="S3:U3"/>
  </mergeCells>
  <pageMargins left="0.5" right="0.25" top="1" bottom="0.5" header="0.3" footer="0.3"/>
  <pageSetup orientation="landscape" verticalDpi="0" r:id="rId1"/>
  <headerFooter>
    <oddHeader>&amp;L&amp;"-,Bold"&amp;14MUNICIPAL FIRE AND POLICE RETIREMENT SYSTEM OF IOWA
&amp;11SUPPLEMENTAL CHANGE IN PROPORTIONATE SHARE
AS OF JUNE 30, 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calculator</vt:lpstr>
      <vt:lpstr>Amort</vt:lpstr>
      <vt:lpstr>MFPRSI Supplemental Info 2017</vt:lpstr>
      <vt:lpstr>MFPRSI Supplemental Info 2016</vt:lpstr>
      <vt:lpstr>MFPRSI Supplemental Info 2015</vt:lpstr>
      <vt:lpstr>MFPRSI Supplemental Info 2014</vt:lpstr>
      <vt:lpstr>'MFPRSI Supplemental Info 2014'!Print_Area</vt:lpstr>
      <vt:lpstr>'MFPRSI Supplemental Info 2015'!Print_Area</vt:lpstr>
      <vt:lpstr>'MFPRSI Supplemental Info 2016'!Print_Area</vt:lpstr>
      <vt:lpstr>'MFPRSI Supplemental Info 2017'!Print_Area</vt:lpstr>
      <vt:lpstr>'MFPRSI Supplemental Info 2014'!Print_Titles</vt:lpstr>
      <vt:lpstr>'MFPRSI Supplemental Info 2015'!Print_Titles</vt:lpstr>
      <vt:lpstr>'MFPRSI Supplemental Info 2016'!Print_Titles</vt:lpstr>
      <vt:lpstr>'MFPRSI Supplemental Info 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Dan Cassady</cp:lastModifiedBy>
  <cp:lastPrinted>2018-04-02T17:46:50Z</cp:lastPrinted>
  <dcterms:created xsi:type="dcterms:W3CDTF">2015-05-05T20:15:03Z</dcterms:created>
  <dcterms:modified xsi:type="dcterms:W3CDTF">2018-04-02T17:48:15Z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